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4.xml" ContentType="application/vnd.openxmlformats-officedocument.spreadsheetml.comments+xml"/>
  <Override PartName="/xl/drawings/drawing24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ергей Титов\"/>
    </mc:Choice>
  </mc:AlternateContent>
  <xr:revisionPtr revIDLastSave="0" documentId="13_ncr:1_{25084C3C-21F1-4A16-A019-9F6543FDF6C1}" xr6:coauthVersionLast="47" xr6:coauthVersionMax="47" xr10:uidLastSave="{00000000-0000-0000-0000-000000000000}"/>
  <bookViews>
    <workbookView xWindow="-120" yWindow="-120" windowWidth="29040" windowHeight="15840" tabRatio="921" activeTab="1" xr2:uid="{00000000-000D-0000-FFFF-FFFF00000000}"/>
  </bookViews>
  <sheets>
    <sheet name="Содержание" sheetId="19" r:id="rId1"/>
    <sheet name="HF" sheetId="28" r:id="rId2"/>
    <sheet name="HF разные фасады" sheetId="2" r:id="rId3"/>
    <sheet name="Схема AVENTOS HF" sheetId="3" r:id="rId4"/>
    <sheet name="HS" sheetId="29" r:id="rId5"/>
    <sheet name="Схема AVENTOS HS " sheetId="5" r:id="rId6"/>
    <sheet name="HL" sheetId="6" r:id="rId7"/>
    <sheet name="Схема AVENTOS HL" sheetId="7" r:id="rId8"/>
    <sheet name="HK" sheetId="8" r:id="rId9"/>
    <sheet name="Схема AVENTOS HK" sheetId="9" r:id="rId10"/>
    <sheet name="HK top" sheetId="30" r:id="rId11"/>
    <sheet name="Схема AVENTOS HK top" sheetId="31" r:id="rId12"/>
    <sheet name="HK-S" sheetId="10" r:id="rId13"/>
    <sheet name="Cхема AVENTOS HK-S" sheetId="11" r:id="rId14"/>
    <sheet name="HK-XS" sheetId="12" r:id="rId15"/>
    <sheet name="Cхема AVENTOS HK-XS" sheetId="13" r:id="rId16"/>
    <sheet name="TIP-ON BLUMOTION LEGRABOX" sheetId="14" r:id="rId17"/>
    <sheet name="TIP-ON BLUMOTION LEGRABOX СХЕМА" sheetId="21" r:id="rId18"/>
    <sheet name="TIP-ON BUMOTION MOVENTO" sheetId="15" r:id="rId19"/>
    <sheet name="TIP-ON BUMOTION MOVENTO СХЕМА" sheetId="22" r:id="rId20"/>
    <sheet name="TIP-ON BLUMOTION TANDEMBOX" sheetId="23" r:id="rId21"/>
    <sheet name="TIP-ON BUMOTION TANDEMBOX СХЕMA" sheetId="24" r:id="rId22"/>
    <sheet name="TANDEMBOX боковые вставки" sheetId="16" r:id="rId23"/>
    <sheet name="Раскрой дна и з.с для TANDEMBOX" sheetId="26" r:id="rId24"/>
    <sheet name="Раскрой дна и з.с. для LEGRABOX" sheetId="27" r:id="rId25"/>
    <sheet name="Раскрой валов синхронизации" sheetId="33" r:id="rId26"/>
  </sheets>
  <definedNames>
    <definedName name="Z_A25B6F15_9B48_4230_9C30_183637D1319E_.wvu.Cols" localSheetId="1" hidden="1">HF!$J:$J</definedName>
    <definedName name="Z_A25B6F15_9B48_4230_9C30_183637D1319E_.wvu.Cols" localSheetId="2" hidden="1">'HF разные фасады'!$B:$C</definedName>
    <definedName name="Z_A25B6F15_9B48_4230_9C30_183637D1319E_.wvu.Cols" localSheetId="16" hidden="1">'TIP-ON BLUMOTION LEGRABOX'!$AO:$BE</definedName>
    <definedName name="Z_A25B6F15_9B48_4230_9C30_183637D1319E_.wvu.Cols" localSheetId="17" hidden="1">'TIP-ON BLUMOTION LEGRABOX СХЕМА'!$AO:$BE</definedName>
    <definedName name="Z_A25B6F15_9B48_4230_9C30_183637D1319E_.wvu.Cols" localSheetId="20" hidden="1">'TIP-ON BLUMOTION TANDEMBOX'!$AO:$BE</definedName>
    <definedName name="Z_A25B6F15_9B48_4230_9C30_183637D1319E_.wvu.Cols" localSheetId="18" hidden="1">'TIP-ON BUMOTION MOVENTO'!$AP:$AZ</definedName>
    <definedName name="Z_A25B6F15_9B48_4230_9C30_183637D1319E_.wvu.Cols" localSheetId="19" hidden="1">'TIP-ON BUMOTION MOVENTO СХЕМА'!$AP:$AZ</definedName>
    <definedName name="Z_A25B6F15_9B48_4230_9C30_183637D1319E_.wvu.Cols" localSheetId="21" hidden="1">'TIP-ON BUMOTION TANDEMBOX СХЕMA'!$AP:$AZ</definedName>
    <definedName name="Z_A25B6F15_9B48_4230_9C30_183637D1319E_.wvu.Rows" localSheetId="1" hidden="1">HF!$2:$2</definedName>
    <definedName name="Z_A25B6F15_9B48_4230_9C30_183637D1319E_.wvu.Rows" localSheetId="12" hidden="1">'HK-S'!$4:$4</definedName>
    <definedName name="Z_A25B6F15_9B48_4230_9C30_183637D1319E_.wvu.Rows" localSheetId="16" hidden="1">'TIP-ON BLUMOTION LEGRABOX'!$29:$29</definedName>
    <definedName name="Z_A25B6F15_9B48_4230_9C30_183637D1319E_.wvu.Rows" localSheetId="17" hidden="1">'TIP-ON BLUMOTION LEGRABOX СХЕМА'!#REF!</definedName>
    <definedName name="Z_A25B6F15_9B48_4230_9C30_183637D1319E_.wvu.Rows" localSheetId="20" hidden="1">'TIP-ON BLUMOTION TANDEMBOX'!$29:$29</definedName>
    <definedName name="внутр" localSheetId="17">'TIP-ON BLUMOTION LEGRABOX СХЕМА'!$AO$3,'TIP-ON BLUMOTION LEGRABOX СХЕМА'!$AO$5</definedName>
    <definedName name="внутр" localSheetId="20">'TIP-ON BLUMOTION TANDEMBOX'!$AO$3,'TIP-ON BLUMOTION TANDEMBOX'!$AO$5</definedName>
    <definedName name="внутр">'TIP-ON BLUMOTION LEGRABOX'!$AO$3,'TIP-ON BLUMOTION LEGRABOX'!$AO$5</definedName>
    <definedName name="Номинальная_длина__NL__мм" localSheetId="1">#REF!</definedName>
    <definedName name="Номинальная_длина__NL__мм" localSheetId="10">#REF!</definedName>
    <definedName name="Номинальная_длина__NL__мм" localSheetId="4">#REF!</definedName>
    <definedName name="Номинальная_длина__NL__мм" localSheetId="23">#REF!</definedName>
    <definedName name="Номинальная_длина__NL__мм" localSheetId="11">#REF!</definedName>
    <definedName name="Номинальная_длина__NL__мм">#REF!</definedName>
    <definedName name="_xlnm.Print_Area" localSheetId="25">'Раскрой валов синхронизации'!$A$2:$E$7</definedName>
    <definedName name="_xlnm.Print_Area" localSheetId="0">Содержание!$A$1:$Y$36</definedName>
  </definedNames>
  <calcPr calcId="181029"/>
  <customWorkbookViews>
    <customWorkbookView name="user - Личное представление" guid="{A25B6F15-9B48-4230-9C30-183637D1319E}" mergeInterval="0" personalView="1" maximized="1" xWindow="18" yWindow="88" windowWidth="628" windowHeight="398" tabRatio="921" activeSheetId="15"/>
  </customWorkbookViews>
  <fileRecoveryPr autoRecover="0"/>
</workbook>
</file>

<file path=xl/calcChain.xml><?xml version="1.0" encoding="utf-8"?>
<calcChain xmlns="http://schemas.openxmlformats.org/spreadsheetml/2006/main">
  <c r="D10" i="33" l="1"/>
  <c r="F10" i="33" s="1"/>
  <c r="F8" i="33"/>
  <c r="E8" i="33"/>
  <c r="F9" i="33"/>
  <c r="E9" i="33"/>
  <c r="B92" i="16"/>
  <c r="B49" i="16"/>
  <c r="B48" i="16"/>
  <c r="I44" i="16"/>
  <c r="H44" i="16"/>
  <c r="G44" i="16"/>
  <c r="F44" i="16"/>
  <c r="E44" i="16"/>
  <c r="D44" i="16"/>
  <c r="C44" i="16"/>
  <c r="B44" i="16"/>
  <c r="I43" i="16"/>
  <c r="H43" i="16"/>
  <c r="G43" i="16"/>
  <c r="F43" i="16"/>
  <c r="E43" i="16"/>
  <c r="D43" i="16"/>
  <c r="C43" i="16"/>
  <c r="B43" i="16"/>
  <c r="I42" i="16"/>
  <c r="H42" i="16"/>
  <c r="G42" i="16"/>
  <c r="F42" i="16"/>
  <c r="E42" i="16"/>
  <c r="D42" i="16"/>
  <c r="C42" i="16"/>
  <c r="B42" i="16"/>
  <c r="I41" i="16"/>
  <c r="H41" i="16"/>
  <c r="G41" i="16"/>
  <c r="F41" i="16"/>
  <c r="E41" i="16"/>
  <c r="D41" i="16"/>
  <c r="C41" i="16"/>
  <c r="B41" i="16"/>
  <c r="I40" i="16"/>
  <c r="H40" i="16"/>
  <c r="G40" i="16"/>
  <c r="F40" i="16"/>
  <c r="E40" i="16"/>
  <c r="D40" i="16"/>
  <c r="C40" i="16"/>
  <c r="B40" i="16"/>
  <c r="I39" i="16"/>
  <c r="H39" i="16"/>
  <c r="G39" i="16"/>
  <c r="F39" i="16"/>
  <c r="E39" i="16"/>
  <c r="D39" i="16"/>
  <c r="C39" i="16"/>
  <c r="B39" i="16"/>
  <c r="G38" i="16"/>
  <c r="F38" i="16"/>
  <c r="E38" i="16"/>
  <c r="D38" i="16"/>
  <c r="C38" i="16"/>
  <c r="B38" i="16"/>
  <c r="G37" i="16"/>
  <c r="F37" i="16"/>
  <c r="E37" i="16"/>
  <c r="D37" i="16"/>
  <c r="C37" i="16"/>
  <c r="B37" i="16"/>
  <c r="G36" i="16"/>
  <c r="F36" i="16"/>
  <c r="E36" i="16"/>
  <c r="D36" i="16"/>
  <c r="C36" i="16"/>
  <c r="B36" i="16"/>
  <c r="D6" i="33"/>
  <c r="F6" i="33" s="1"/>
  <c r="D9" i="33"/>
  <c r="D8" i="33"/>
  <c r="D7" i="33"/>
  <c r="F7" i="33" s="1"/>
  <c r="D5" i="33"/>
  <c r="F5" i="33" s="1"/>
  <c r="D4" i="33"/>
  <c r="E4" i="33" s="1"/>
  <c r="E10" i="33" l="1"/>
  <c r="F4" i="33"/>
  <c r="E6" i="33"/>
  <c r="E7" i="33"/>
  <c r="E5" i="33"/>
  <c r="M56" i="28" l="1"/>
  <c r="E57" i="28"/>
  <c r="M55" i="28" s="1"/>
  <c r="W26" i="12"/>
  <c r="AM21" i="12"/>
  <c r="W24" i="12" s="1"/>
  <c r="AH22" i="12" l="1"/>
  <c r="AH21" i="12"/>
  <c r="N26" i="12" l="1"/>
  <c r="F15" i="30"/>
  <c r="G15" i="30" s="1"/>
  <c r="H15" i="30" s="1"/>
  <c r="F14" i="30"/>
  <c r="G14" i="30" s="1"/>
  <c r="H14" i="30" s="1"/>
  <c r="F13" i="30"/>
  <c r="G13" i="30" s="1"/>
  <c r="H13" i="30" s="1"/>
  <c r="F12" i="30"/>
  <c r="G12" i="30" s="1"/>
  <c r="H12" i="30" s="1"/>
  <c r="F11" i="30"/>
  <c r="G11" i="30" s="1"/>
  <c r="H11" i="30" s="1"/>
  <c r="F10" i="30"/>
  <c r="G10" i="30" s="1"/>
  <c r="H10" i="30" s="1"/>
  <c r="M42" i="28" l="1"/>
  <c r="M49" i="28" l="1"/>
  <c r="E33" i="28"/>
  <c r="F9" i="29" l="1"/>
  <c r="G9" i="29" s="1"/>
  <c r="F8" i="29"/>
  <c r="G8" i="29" s="1"/>
  <c r="F7" i="29"/>
  <c r="G7" i="29" s="1"/>
  <c r="F6" i="29"/>
  <c r="G6" i="29" s="1"/>
  <c r="F5" i="29"/>
  <c r="G5" i="29" s="1"/>
  <c r="F4" i="29"/>
  <c r="G4" i="29" s="1"/>
  <c r="H13" i="12" l="1"/>
  <c r="H12" i="12"/>
  <c r="F11" i="10"/>
  <c r="F10" i="10"/>
  <c r="F11" i="8"/>
  <c r="F10" i="8"/>
  <c r="F11" i="6"/>
  <c r="F10" i="6"/>
  <c r="H19" i="28"/>
  <c r="H18" i="28"/>
  <c r="H20" i="28"/>
  <c r="H21" i="28"/>
  <c r="H22" i="28"/>
  <c r="H23" i="28"/>
  <c r="H24" i="28"/>
  <c r="H25" i="28"/>
  <c r="H17" i="28"/>
  <c r="I12" i="12" l="1"/>
  <c r="P12" i="12" s="1"/>
  <c r="F12" i="10"/>
  <c r="F14" i="10"/>
  <c r="F13" i="10"/>
  <c r="F12" i="8"/>
  <c r="F13" i="8"/>
  <c r="F14" i="8"/>
  <c r="F12" i="6"/>
  <c r="F13" i="6"/>
  <c r="F14" i="6"/>
  <c r="F15" i="10"/>
  <c r="F15" i="8"/>
  <c r="F15" i="6"/>
  <c r="I17" i="28" l="1"/>
  <c r="K17" i="28" s="1"/>
  <c r="I18" i="28"/>
  <c r="L25" i="28"/>
  <c r="I25" i="28"/>
  <c r="K25" i="28" s="1"/>
  <c r="L24" i="28"/>
  <c r="I24" i="28"/>
  <c r="K24" i="28" s="1"/>
  <c r="L23" i="28"/>
  <c r="I23" i="28"/>
  <c r="K23" i="28" s="1"/>
  <c r="L22" i="28"/>
  <c r="I22" i="28"/>
  <c r="K22" i="28" s="1"/>
  <c r="L21" i="28"/>
  <c r="I21" i="28"/>
  <c r="K21" i="28" s="1"/>
  <c r="L20" i="28"/>
  <c r="I20" i="28"/>
  <c r="K20" i="28" s="1"/>
  <c r="L19" i="28"/>
  <c r="I19" i="28"/>
  <c r="K19" i="28" s="1"/>
  <c r="L18" i="28"/>
  <c r="L17" i="28"/>
  <c r="K18" i="28" l="1"/>
  <c r="J3" i="27"/>
  <c r="J4" i="27"/>
  <c r="J5" i="27"/>
  <c r="J6" i="27"/>
  <c r="I3" i="27"/>
  <c r="I4" i="27"/>
  <c r="I5" i="27"/>
  <c r="I6" i="27"/>
  <c r="H3" i="27"/>
  <c r="H4" i="27"/>
  <c r="H5" i="27"/>
  <c r="H6" i="27"/>
  <c r="J2" i="27"/>
  <c r="H2" i="27"/>
  <c r="I2" i="27"/>
  <c r="E3" i="26"/>
  <c r="F3" i="26"/>
  <c r="G3" i="26"/>
  <c r="H3" i="26"/>
  <c r="E4" i="26"/>
  <c r="F4" i="26"/>
  <c r="G4" i="26"/>
  <c r="H4" i="26"/>
  <c r="E5" i="26"/>
  <c r="F5" i="26"/>
  <c r="G5" i="26"/>
  <c r="H5" i="26"/>
  <c r="E6" i="26"/>
  <c r="F6" i="26"/>
  <c r="G6" i="26"/>
  <c r="H6" i="26"/>
  <c r="I3" i="26"/>
  <c r="I4" i="26"/>
  <c r="I5" i="26"/>
  <c r="I6" i="26"/>
  <c r="I7" i="26"/>
  <c r="H7" i="26"/>
  <c r="I2" i="26"/>
  <c r="H2" i="26"/>
  <c r="E2" i="26"/>
  <c r="F2" i="26"/>
  <c r="G2" i="26"/>
  <c r="E7" i="26"/>
  <c r="F7" i="26"/>
  <c r="G7" i="26"/>
  <c r="G6" i="27" l="1"/>
  <c r="F6" i="27"/>
  <c r="E6" i="27"/>
  <c r="G5" i="27"/>
  <c r="F5" i="27"/>
  <c r="E5" i="27"/>
  <c r="G4" i="27"/>
  <c r="F4" i="27"/>
  <c r="E4" i="27"/>
  <c r="G3" i="27"/>
  <c r="F3" i="27"/>
  <c r="E3" i="27"/>
  <c r="G2" i="27"/>
  <c r="F2" i="27"/>
  <c r="E2" i="27"/>
  <c r="H17" i="12" l="1"/>
  <c r="H16" i="12"/>
  <c r="H15" i="12"/>
  <c r="H14" i="12"/>
  <c r="Y20" i="23" l="1"/>
  <c r="AX8" i="24" l="1"/>
  <c r="AW8" i="24"/>
  <c r="AV8" i="24"/>
  <c r="AX7" i="24"/>
  <c r="AW7" i="24"/>
  <c r="AV7" i="24"/>
  <c r="AX6" i="24"/>
  <c r="AW6" i="24"/>
  <c r="AV6" i="24"/>
  <c r="AX5" i="24"/>
  <c r="AW5" i="24"/>
  <c r="AV5" i="24"/>
  <c r="AX4" i="24"/>
  <c r="AW4" i="24"/>
  <c r="AV4" i="24"/>
  <c r="AY4" i="24" s="1"/>
  <c r="AX3" i="24"/>
  <c r="AW3" i="24"/>
  <c r="AV3" i="24"/>
  <c r="AZ2" i="24"/>
  <c r="AE30" i="23"/>
  <c r="AF30" i="23" s="1"/>
  <c r="S20" i="23"/>
  <c r="BE9" i="23"/>
  <c r="AV5" i="23" s="1"/>
  <c r="BC9" i="23"/>
  <c r="AW3" i="23" s="1"/>
  <c r="AY3" i="23" s="1"/>
  <c r="BB9" i="23"/>
  <c r="BE8" i="23"/>
  <c r="BD8" i="23"/>
  <c r="BC8" i="23"/>
  <c r="BB8" i="23"/>
  <c r="BE7" i="23"/>
  <c r="BD7" i="23"/>
  <c r="BC7" i="23"/>
  <c r="BB7" i="23"/>
  <c r="BE6" i="23"/>
  <c r="BD6" i="23"/>
  <c r="AX6" i="23"/>
  <c r="AW6" i="23"/>
  <c r="AV6" i="23"/>
  <c r="BE5" i="23"/>
  <c r="BD5" i="23"/>
  <c r="AW5" i="23"/>
  <c r="BE4" i="23"/>
  <c r="BD4" i="23"/>
  <c r="AW4" i="23"/>
  <c r="BE3" i="23"/>
  <c r="BD3" i="23"/>
  <c r="BE2" i="23"/>
  <c r="BD2" i="23"/>
  <c r="AY5" i="24" l="1"/>
  <c r="AY8" i="24"/>
  <c r="AY5" i="23"/>
  <c r="AY3" i="24"/>
  <c r="AY9" i="24" s="1"/>
  <c r="AY7" i="24"/>
  <c r="AY6" i="24"/>
  <c r="AY6" i="23"/>
  <c r="BD9" i="23"/>
  <c r="AV4" i="23" s="1"/>
  <c r="AY4" i="23" s="1"/>
  <c r="AY7" i="23" l="1"/>
  <c r="M20" i="23" s="1"/>
  <c r="AE20" i="23" s="1"/>
  <c r="L28" i="23" s="1"/>
  <c r="G15" i="10"/>
  <c r="H15" i="10" s="1"/>
  <c r="I17" i="12"/>
  <c r="P17" i="12" s="1"/>
  <c r="G15" i="8"/>
  <c r="H15" i="8" s="1"/>
  <c r="H15" i="6"/>
  <c r="AX8" i="22"/>
  <c r="AW8" i="22"/>
  <c r="AV8" i="22"/>
  <c r="AX7" i="22"/>
  <c r="AW7" i="22"/>
  <c r="AX6" i="22"/>
  <c r="AW6" i="22"/>
  <c r="AV6" i="22"/>
  <c r="AX5" i="22"/>
  <c r="AV7" i="22" s="1"/>
  <c r="AW5" i="22"/>
  <c r="AV5" i="22"/>
  <c r="AX4" i="22"/>
  <c r="AW4" i="22"/>
  <c r="AV4" i="22"/>
  <c r="AX3" i="22"/>
  <c r="AW3" i="22"/>
  <c r="AV3" i="22"/>
  <c r="AZ2" i="23" l="1"/>
  <c r="J17" i="12"/>
  <c r="G15" i="6"/>
  <c r="AY4" i="22"/>
  <c r="AY7" i="22"/>
  <c r="AY3" i="22"/>
  <c r="AY6" i="22"/>
  <c r="AY9" i="22" s="1"/>
  <c r="AY5" i="22"/>
  <c r="AY8" i="22"/>
  <c r="AZ2" i="22"/>
  <c r="BE9" i="21"/>
  <c r="AV5" i="21" s="1"/>
  <c r="BC9" i="21"/>
  <c r="AW3" i="21" s="1"/>
  <c r="AY3" i="21" s="1"/>
  <c r="BB9" i="21"/>
  <c r="BE8" i="21"/>
  <c r="BD8" i="21"/>
  <c r="BC8" i="21"/>
  <c r="BB8" i="21"/>
  <c r="BE7" i="21"/>
  <c r="BD7" i="21"/>
  <c r="BC7" i="21"/>
  <c r="BB7" i="21"/>
  <c r="BE6" i="21"/>
  <c r="BD6" i="21"/>
  <c r="AX6" i="21"/>
  <c r="AW6" i="21"/>
  <c r="AV6" i="21"/>
  <c r="BE5" i="21"/>
  <c r="BD5" i="21"/>
  <c r="AW5" i="21"/>
  <c r="BE4" i="21"/>
  <c r="BD4" i="21"/>
  <c r="AW4" i="21"/>
  <c r="BE3" i="21"/>
  <c r="BD3" i="21"/>
  <c r="BE2" i="21"/>
  <c r="BD2" i="21"/>
  <c r="BD9" i="21" s="1"/>
  <c r="AV4" i="21" s="1"/>
  <c r="AY4" i="21" s="1"/>
  <c r="AY5" i="21" l="1"/>
  <c r="AY6" i="21"/>
  <c r="AY7" i="21"/>
  <c r="AZ2" i="21" l="1"/>
  <c r="H9" i="16"/>
  <c r="F9" i="16"/>
  <c r="G8" i="16"/>
  <c r="AV3" i="15"/>
  <c r="AW3" i="15"/>
  <c r="AX3" i="15"/>
  <c r="AV4" i="15"/>
  <c r="AW4" i="15"/>
  <c r="AX4" i="15"/>
  <c r="AV5" i="15"/>
  <c r="AW5" i="15"/>
  <c r="AX5" i="15"/>
  <c r="AV6" i="15"/>
  <c r="AW6" i="15"/>
  <c r="AX6" i="15"/>
  <c r="AV7" i="15"/>
  <c r="AW7" i="15"/>
  <c r="AX7" i="15"/>
  <c r="AV8" i="15"/>
  <c r="AW8" i="15"/>
  <c r="AX8" i="15"/>
  <c r="G16" i="15"/>
  <c r="H16" i="15"/>
  <c r="I16" i="15"/>
  <c r="H17" i="15"/>
  <c r="E18" i="15"/>
  <c r="S20" i="15"/>
  <c r="Y20" i="15"/>
  <c r="H23" i="15"/>
  <c r="F24" i="15"/>
  <c r="AE31" i="15"/>
  <c r="AF31" i="15" s="1"/>
  <c r="BD2" i="14"/>
  <c r="BE2" i="14"/>
  <c r="BD3" i="14"/>
  <c r="BE3" i="14"/>
  <c r="AW4" i="14"/>
  <c r="BD4" i="14"/>
  <c r="BE4" i="14"/>
  <c r="AW5" i="14"/>
  <c r="BD5" i="14"/>
  <c r="BD9" i="14" s="1"/>
  <c r="AV4" i="14" s="1"/>
  <c r="AY4" i="14" s="1"/>
  <c r="BE5" i="14"/>
  <c r="AV6" i="14"/>
  <c r="AW6" i="14"/>
  <c r="AX6" i="14"/>
  <c r="BD6" i="14"/>
  <c r="BE6" i="14"/>
  <c r="BB7" i="14"/>
  <c r="BC7" i="14"/>
  <c r="BD7" i="14"/>
  <c r="BE7" i="14"/>
  <c r="BB8" i="14"/>
  <c r="BC8" i="14"/>
  <c r="BD8" i="14"/>
  <c r="BE8" i="14"/>
  <c r="BB9" i="14"/>
  <c r="BC9" i="14"/>
  <c r="AW3" i="14" s="1"/>
  <c r="AY3" i="14" s="1"/>
  <c r="BE9" i="14"/>
  <c r="AV5" i="14" s="1"/>
  <c r="S20" i="14"/>
  <c r="Y20" i="14"/>
  <c r="AE30" i="14"/>
  <c r="AF30" i="14" s="1"/>
  <c r="AY8" i="15" l="1"/>
  <c r="AY6" i="14"/>
  <c r="AY5" i="14"/>
  <c r="AY7" i="14" s="1"/>
  <c r="M20" i="14" s="1"/>
  <c r="AE20" i="14" s="1"/>
  <c r="AY4" i="15"/>
  <c r="AY5" i="15"/>
  <c r="AY6" i="15"/>
  <c r="AY7" i="15"/>
  <c r="AY3" i="15"/>
  <c r="AY9" i="15" l="1"/>
  <c r="M20" i="15" s="1"/>
  <c r="AE20" i="15" s="1"/>
  <c r="AZ2" i="15" s="1"/>
  <c r="AZ2" i="14"/>
  <c r="L28" i="14"/>
  <c r="L29" i="15" l="1"/>
  <c r="H10" i="6"/>
  <c r="H14" i="6" l="1"/>
  <c r="H13" i="6"/>
  <c r="H12" i="6"/>
  <c r="H11" i="6"/>
  <c r="I15" i="12" l="1"/>
  <c r="P15" i="12" s="1"/>
  <c r="I14" i="12"/>
  <c r="P14" i="12" s="1"/>
  <c r="I13" i="12"/>
  <c r="P13" i="12" s="1"/>
  <c r="G11" i="10"/>
  <c r="H11" i="10" s="1"/>
  <c r="G10" i="10"/>
  <c r="H10" i="10" s="1"/>
  <c r="I16" i="12"/>
  <c r="P16" i="12" s="1"/>
  <c r="G14" i="6"/>
  <c r="G14" i="10"/>
  <c r="H14" i="10" s="1"/>
  <c r="D7" i="16"/>
  <c r="E7" i="16"/>
  <c r="F7" i="16"/>
  <c r="G7" i="16"/>
  <c r="D8" i="16"/>
  <c r="E8" i="16"/>
  <c r="F8" i="16"/>
  <c r="D9" i="16"/>
  <c r="E9" i="16"/>
  <c r="G9" i="16"/>
  <c r="D10" i="16"/>
  <c r="E10" i="16"/>
  <c r="F10" i="16"/>
  <c r="G10" i="16"/>
  <c r="D11" i="16"/>
  <c r="E11" i="16"/>
  <c r="F11" i="16"/>
  <c r="G11" i="16"/>
  <c r="D12" i="16"/>
  <c r="E12" i="16"/>
  <c r="F12" i="16"/>
  <c r="G12" i="16"/>
  <c r="D13" i="16"/>
  <c r="E13" i="16"/>
  <c r="F13" i="16"/>
  <c r="G13" i="16"/>
  <c r="D14" i="16"/>
  <c r="E14" i="16"/>
  <c r="F14" i="16"/>
  <c r="G14" i="16"/>
  <c r="G6" i="16"/>
  <c r="F6" i="16"/>
  <c r="E6" i="16"/>
  <c r="D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C6" i="16"/>
  <c r="B6" i="16"/>
  <c r="B19" i="16"/>
  <c r="B18" i="16"/>
  <c r="I14" i="16"/>
  <c r="H14" i="16"/>
  <c r="I13" i="16"/>
  <c r="H13" i="16"/>
  <c r="I12" i="16"/>
  <c r="H12" i="16"/>
  <c r="I11" i="16"/>
  <c r="H11" i="16"/>
  <c r="I10" i="16"/>
  <c r="H10" i="16"/>
  <c r="I9" i="16"/>
  <c r="G13" i="10"/>
  <c r="H13" i="10" s="1"/>
  <c r="G12" i="10"/>
  <c r="H12" i="10" s="1"/>
  <c r="G10" i="8"/>
  <c r="H10" i="8" s="1"/>
  <c r="G12" i="8"/>
  <c r="H12" i="8" s="1"/>
  <c r="G14" i="8"/>
  <c r="H14" i="8" s="1"/>
  <c r="C29" i="2"/>
  <c r="C28" i="2"/>
  <c r="B27" i="2"/>
  <c r="B14" i="2"/>
  <c r="G13" i="6"/>
  <c r="G12" i="6"/>
  <c r="G11" i="6"/>
  <c r="G10" i="6"/>
  <c r="G13" i="8"/>
  <c r="H13" i="8" s="1"/>
  <c r="G11" i="8"/>
  <c r="H11" i="8" s="1"/>
  <c r="D23" i="2" l="1"/>
  <c r="B22" i="2" s="1"/>
  <c r="C22" i="2" s="1"/>
  <c r="B23" i="2" s="1"/>
  <c r="C23" i="2" s="1"/>
  <c r="B24" i="2" s="1"/>
  <c r="C24" i="2" s="1"/>
  <c r="B25" i="2" s="1"/>
  <c r="C25" i="2" s="1"/>
  <c r="B26" i="2" s="1"/>
  <c r="D14" i="2"/>
  <c r="D15" i="2" s="1"/>
  <c r="J15" i="12"/>
  <c r="J13" i="12"/>
  <c r="J16" i="12"/>
  <c r="J14" i="12"/>
  <c r="J12" i="12"/>
  <c r="E23" i="2" l="1"/>
  <c r="E24" i="2" s="1"/>
  <c r="D24" i="2"/>
  <c r="C17" i="2"/>
  <c r="D17" i="2" s="1"/>
  <c r="C16" i="2"/>
  <c r="D16" i="2" s="1"/>
  <c r="D27" i="2"/>
  <c r="D28" i="2" l="1"/>
  <c r="D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2" authorId="0" shapeId="0" xr:uid="{00000000-0006-0000-0C00-000001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3" authorId="0" shapeId="0" xr:uid="{00000000-0006-0000-0C00-000003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</t>
        </r>
        <r>
          <rPr>
            <b/>
            <sz val="9"/>
            <color indexed="81"/>
            <rFont val="Tahoma"/>
            <family val="2"/>
            <charset val="204"/>
          </rPr>
          <t>.</t>
        </r>
      </text>
    </comment>
    <comment ref="F14" authorId="0" shapeId="0" xr:uid="{00000000-0006-0000-0C00-000004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5" authorId="0" shapeId="0" xr:uid="{00000000-0006-0000-0C00-000005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6" authorId="0" shapeId="0" xr:uid="{00000000-0006-0000-0C00-000006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7" authorId="0" shapeId="0" xr:uid="{00000000-0006-0000-0C00-000007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4" authorId="0" shapeId="0" xr:uid="{00000000-0006-0000-1400-000001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2" authorId="0" shapeId="0" xr:uid="{00000000-0006-0000-1400-000002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3" authorId="0" shapeId="0" xr:uid="{00000000-0006-0000-1400-000003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4" authorId="0" shapeId="0" xr:uid="{00000000-0006-0000-1400-000004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44" authorId="0" shapeId="0" xr:uid="{D7DA7B66-A096-4E27-853C-2D2E9543B50F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52" authorId="0" shapeId="0" xr:uid="{438BB5EC-01D8-423E-BB03-990D307C3345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88" authorId="0" shapeId="0" xr:uid="{9EE3058D-3EE8-443A-9A39-FD598EAA7A16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95" authorId="0" shapeId="0" xr:uid="{9491DF0F-A61A-4773-ACAD-CC79DDAF262A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7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7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8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8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G1" authorId="0" shapeId="0" xr:uid="{00000000-0006-0000-1800-000003000000}">
      <text>
        <r>
          <rPr>
            <b/>
            <sz val="9"/>
            <color indexed="81"/>
            <rFont val="Tahoma"/>
            <family val="2"/>
            <charset val="204"/>
          </rPr>
          <t>фрезеровка по краям с двух сторон на глубину 8 мм и ширину 38 мм</t>
        </r>
      </text>
    </comment>
  </commentList>
</comments>
</file>

<file path=xl/sharedStrings.xml><?xml version="1.0" encoding="utf-8"?>
<sst xmlns="http://schemas.openxmlformats.org/spreadsheetml/2006/main" count="1548" uniqueCount="696">
  <si>
    <t>Силовой механизм АВЕНТОС 22</t>
  </si>
  <si>
    <t>20F2201</t>
  </si>
  <si>
    <t>Силовой механизм АВЕНТОС 25</t>
  </si>
  <si>
    <t>20F2501</t>
  </si>
  <si>
    <t>Силовой механизм АВЕНТОС 28</t>
  </si>
  <si>
    <t>20F2801</t>
  </si>
  <si>
    <t>Телескопический рычаг 35, для h=600</t>
  </si>
  <si>
    <t>20F3501</t>
  </si>
  <si>
    <t>Телескопический рычаг 38, для h=720</t>
  </si>
  <si>
    <t>20F3801</t>
  </si>
  <si>
    <t>Телескопический рычаг 39, для h=900</t>
  </si>
  <si>
    <t>20F3901</t>
  </si>
  <si>
    <t>Ответная планка CLIP, прямая</t>
  </si>
  <si>
    <t>Петля Clip Top 120* без пружины</t>
  </si>
  <si>
    <t>70T5550.TL</t>
  </si>
  <si>
    <t>Средняя петля Clip Top</t>
  </si>
  <si>
    <t>78Z5500T</t>
  </si>
  <si>
    <t>Заглушка большая, правая</t>
  </si>
  <si>
    <t>20F8001  R</t>
  </si>
  <si>
    <t>Заглушка большая, левая</t>
  </si>
  <si>
    <t>20F8001  L</t>
  </si>
  <si>
    <t>Заглушка круглая, черная</t>
  </si>
  <si>
    <t xml:space="preserve">20F9001 </t>
  </si>
  <si>
    <t>Петля Clip Top 120* для алюминиевой рамки</t>
  </si>
  <si>
    <t>72T550A</t>
  </si>
  <si>
    <t>78Z550AT</t>
  </si>
  <si>
    <t>Держатель CLIP левый</t>
  </si>
  <si>
    <t>175H5B00</t>
  </si>
  <si>
    <t>Держатель CLIP правый</t>
  </si>
  <si>
    <t>Держатель CLIP симетричный</t>
  </si>
  <si>
    <t>175H5A00</t>
  </si>
  <si>
    <t>Артикул</t>
  </si>
  <si>
    <t>Ширина</t>
  </si>
  <si>
    <t>Высота</t>
  </si>
  <si>
    <t>От</t>
  </si>
  <si>
    <t>До</t>
  </si>
  <si>
    <t>Мощность</t>
  </si>
  <si>
    <t>Телескопический рычаг XX, для h=XXX</t>
  </si>
  <si>
    <t>20F2X01</t>
  </si>
  <si>
    <t>20F3X01</t>
  </si>
  <si>
    <t>Вес, кг</t>
  </si>
  <si>
    <t>РАЗНЫЕ ФАСАДЫ:</t>
  </si>
  <si>
    <t>20S4201</t>
  </si>
  <si>
    <t>от</t>
  </si>
  <si>
    <t>до</t>
  </si>
  <si>
    <t>L32</t>
  </si>
  <si>
    <t>L35</t>
  </si>
  <si>
    <t>L38</t>
  </si>
  <si>
    <t>L39</t>
  </si>
  <si>
    <t>450 - 580</t>
  </si>
  <si>
    <t>400 - 550</t>
  </si>
  <si>
    <t>20L2301</t>
  </si>
  <si>
    <t>20L2501</t>
  </si>
  <si>
    <t>20L2701</t>
  </si>
  <si>
    <t>20L2901</t>
  </si>
  <si>
    <t>Рычаг</t>
  </si>
  <si>
    <t>20S4201A</t>
  </si>
  <si>
    <t>Рычаг Авентос HS, левый</t>
  </si>
  <si>
    <t>Рычаг Авентос HS, правый</t>
  </si>
  <si>
    <t>Штанга под раскрой 1200 мм</t>
  </si>
  <si>
    <t>Заглушка штанги HS</t>
  </si>
  <si>
    <t>20K4A01A</t>
  </si>
  <si>
    <t>20L2101</t>
  </si>
  <si>
    <t>350 - 399</t>
  </si>
  <si>
    <t>300 - 349</t>
  </si>
  <si>
    <t>AVENTOS HF</t>
  </si>
  <si>
    <t>Расчет фасадов</t>
  </si>
  <si>
    <t>Высота корпуса</t>
  </si>
  <si>
    <t>мм</t>
  </si>
  <si>
    <t>Верхний зазор</t>
  </si>
  <si>
    <t>Зазор между фасадами</t>
  </si>
  <si>
    <t>Нижний зазор</t>
  </si>
  <si>
    <t xml:space="preserve">Толщина боковины </t>
  </si>
  <si>
    <t>Симметричные фасады</t>
  </si>
  <si>
    <t>Высота верхнего фасада (FHo)</t>
  </si>
  <si>
    <t>Высота нижнего фасада (FHu)</t>
  </si>
  <si>
    <t>Поз. силового механизма (H)</t>
  </si>
  <si>
    <t>Поз. ответной планки (Z)</t>
  </si>
  <si>
    <t>Возможные высоты</t>
  </si>
  <si>
    <t>от [мм]</t>
  </si>
  <si>
    <t>до [мм]</t>
  </si>
  <si>
    <t>Высота верхнего фасада (Fho)</t>
  </si>
  <si>
    <t>Поз. силового механизма (Z)</t>
  </si>
  <si>
    <t>Если верхний фасад - алюминиевая рамка шириной менее 55 мм (Z4 др.) - то вместо 2 прямых выписываются 2 крестообразные ответные планки (Clip 173L6100)</t>
  </si>
  <si>
    <t>Для фасадов из ДСП, МДФ, Массива и широких алюминиевых рамок</t>
  </si>
  <si>
    <t>Для узких алюминиевых рамок (Z1)</t>
  </si>
  <si>
    <t>Средняя петля CLIP TOP для алюминиевой рамки</t>
  </si>
  <si>
    <t>верхний МДФ/нижний Z1</t>
  </si>
  <si>
    <t>верхний Z1/нижний МДФ</t>
  </si>
  <si>
    <t>Фасад Z1</t>
  </si>
  <si>
    <t>Фасад Z4</t>
  </si>
  <si>
    <t>Выписка Aventos HS</t>
  </si>
  <si>
    <t>Крепление фасада для массива</t>
  </si>
  <si>
    <t>2.00 - 5.00</t>
  </si>
  <si>
    <t>4.50 - 9.50</t>
  </si>
  <si>
    <t>9.25 - 10.50</t>
  </si>
  <si>
    <t>2.00 - 4.75</t>
  </si>
  <si>
    <t>4.50 - 9.25</t>
  </si>
  <si>
    <t>4.50 - 9.00</t>
  </si>
  <si>
    <t>4.25 - 9.00</t>
  </si>
  <si>
    <t>9.25 - 10.75</t>
  </si>
  <si>
    <t>9.00 - 11.00</t>
  </si>
  <si>
    <t>9.00 - 11.25</t>
  </si>
  <si>
    <t>9.00 - 11.50</t>
  </si>
  <si>
    <t>8.75 - 11.50</t>
  </si>
  <si>
    <t>8.75 - 11.75</t>
  </si>
  <si>
    <t>8.75 - 12.00</t>
  </si>
  <si>
    <t>-</t>
  </si>
  <si>
    <t>2.25 - 4.50</t>
  </si>
  <si>
    <t>2.25 - 4.25</t>
  </si>
  <si>
    <t>4.25 - 8.75</t>
  </si>
  <si>
    <t>4.25 - 8.50</t>
  </si>
  <si>
    <t>4.00 - 8.50</t>
  </si>
  <si>
    <t>8.75 - 12.25</t>
  </si>
  <si>
    <t>8.50 - 12.50</t>
  </si>
  <si>
    <t>8.50 - 12.75</t>
  </si>
  <si>
    <t>8.50 - 13.00</t>
  </si>
  <si>
    <t>8.25 - 13.00</t>
  </si>
  <si>
    <t>8.25 - 13.25</t>
  </si>
  <si>
    <t>8.25 - 13.50</t>
  </si>
  <si>
    <t>2.50 - 4.25</t>
  </si>
  <si>
    <t>4.00 - 8.25</t>
  </si>
  <si>
    <t>3.75 - 8.00</t>
  </si>
  <si>
    <t>3.75 - 7.75</t>
  </si>
  <si>
    <t>3.50 - 7.75</t>
  </si>
  <si>
    <t>8.00 - 13.75</t>
  </si>
  <si>
    <t>8.00 - 14.00</t>
  </si>
  <si>
    <t>7.75 - 14.00</t>
  </si>
  <si>
    <t>7.75 - 14.25</t>
  </si>
  <si>
    <t>7.75 - 14.50</t>
  </si>
  <si>
    <t>7.50 - 14.50</t>
  </si>
  <si>
    <t>7.50 - 14.75</t>
  </si>
  <si>
    <t>2.50 - 4.00</t>
  </si>
  <si>
    <t>3.50 - 7.50</t>
  </si>
  <si>
    <t>3.25 - 7.50</t>
  </si>
  <si>
    <t>7.25 - 14.75</t>
  </si>
  <si>
    <t>7.25 - 15.00</t>
  </si>
  <si>
    <t>3.00 - 6.75</t>
  </si>
  <si>
    <t>6.25 - 13.00</t>
  </si>
  <si>
    <t>6.25 - 12.75</t>
  </si>
  <si>
    <t>12.00 - 16.50</t>
  </si>
  <si>
    <t>11.75 - 16.75</t>
  </si>
  <si>
    <t>3.00 - 6.50</t>
  </si>
  <si>
    <t>6.00 - 12.75</t>
  </si>
  <si>
    <t>6.00 - 12.50</t>
  </si>
  <si>
    <t>6.00 - 12.25</t>
  </si>
  <si>
    <t>11.25 - 17.50</t>
  </si>
  <si>
    <t>11.50 - 17.50</t>
  </si>
  <si>
    <t>11.50 - 17.25</t>
  </si>
  <si>
    <t>11.75 - 17.00</t>
  </si>
  <si>
    <t>20S8001 - L</t>
  </si>
  <si>
    <t>20S8001 - R</t>
  </si>
  <si>
    <t>20F9001.BL</t>
  </si>
  <si>
    <t>20S3501.06 - L</t>
  </si>
  <si>
    <t>20S3501.06 - R</t>
  </si>
  <si>
    <t>20Q1061UN</t>
  </si>
  <si>
    <t>20Q0003.03</t>
  </si>
  <si>
    <t>для Z1</t>
  </si>
  <si>
    <t>3.00 - 6.25</t>
  </si>
  <si>
    <t>5.75 - 12.25</t>
  </si>
  <si>
    <t>5.75 - 12.00</t>
  </si>
  <si>
    <t>11.25 - 17.75</t>
  </si>
  <si>
    <t>11.00 - 18.00</t>
  </si>
  <si>
    <t>10.75 - 18.25</t>
  </si>
  <si>
    <t>3.00 - 6.00</t>
  </si>
  <si>
    <t>Диапозон мощности</t>
  </si>
  <si>
    <t>Силовой механизм Aventos HF 22</t>
  </si>
  <si>
    <t>Силовой механизм Aventos HF 25</t>
  </si>
  <si>
    <t>Силовой механизм Aventos HF 28</t>
  </si>
  <si>
    <t>Телескопический рычаг 32, для h=550</t>
  </si>
  <si>
    <t>Наименование</t>
  </si>
  <si>
    <t>20K8001 - L</t>
  </si>
  <si>
    <t>20K8001 - R</t>
  </si>
  <si>
    <t>20K9001.BL</t>
  </si>
  <si>
    <r>
      <t>20K</t>
    </r>
    <r>
      <rPr>
        <b/>
        <sz val="12"/>
        <rFont val="Arial"/>
        <family val="2"/>
        <charset val="204"/>
      </rPr>
      <t>XX</t>
    </r>
    <r>
      <rPr>
        <sz val="10"/>
        <rFont val="Arial"/>
        <family val="2"/>
        <charset val="204"/>
      </rPr>
      <t>01.05</t>
    </r>
  </si>
  <si>
    <t>Белая</t>
  </si>
  <si>
    <t>опция</t>
  </si>
  <si>
    <t>Заглушка большая (Серая), левая</t>
  </si>
  <si>
    <t>Заглушка большая (Серая), правая</t>
  </si>
  <si>
    <t>20K2301.05/20K2301T</t>
  </si>
  <si>
    <t>20K2501.05/20K2501T</t>
  </si>
  <si>
    <t>20K2901.05/20K2901T</t>
  </si>
  <si>
    <t>20K2701.05/20K2701T</t>
  </si>
  <si>
    <t>955.1008S</t>
  </si>
  <si>
    <t>для TipON</t>
  </si>
  <si>
    <t>20KXX01T</t>
  </si>
  <si>
    <t>3.00 - 5.75</t>
  </si>
  <si>
    <t>3.00 - 5.50</t>
  </si>
  <si>
    <t>3.00 - 5.25</t>
  </si>
  <si>
    <t>5.50 - 12.00</t>
  </si>
  <si>
    <t>5.50 - 11.75</t>
  </si>
  <si>
    <t>5.50 - 11.50</t>
  </si>
  <si>
    <t>5.25 - 11.50</t>
  </si>
  <si>
    <t>5.25 - 11.25</t>
  </si>
  <si>
    <t>5.00 - 11.00</t>
  </si>
  <si>
    <t>10.50 - 18.50</t>
  </si>
  <si>
    <t>10.25 - 18.75</t>
  </si>
  <si>
    <t>10.00 - 18.75</t>
  </si>
  <si>
    <t>10.00 - 19.00</t>
  </si>
  <si>
    <t>09.75 - 19.00</t>
  </si>
  <si>
    <t>03.50 - 8.00</t>
  </si>
  <si>
    <t>03.50 - 7.75</t>
  </si>
  <si>
    <t>03.50 - 7.50</t>
  </si>
  <si>
    <t>03.50 - 7.25</t>
  </si>
  <si>
    <t>03.75 - 7.25</t>
  </si>
  <si>
    <t>03.75 - 7.00</t>
  </si>
  <si>
    <t>04.00 - 7.00</t>
  </si>
  <si>
    <t>07.00 - 13.50</t>
  </si>
  <si>
    <t>07.00 - 13.25</t>
  </si>
  <si>
    <t>06.75 - 13.25</t>
  </si>
  <si>
    <t>06.75 - 13.00</t>
  </si>
  <si>
    <t>06.50 - 13.00</t>
  </si>
  <si>
    <t>06.50 - 12.75</t>
  </si>
  <si>
    <t>06.50 - 12.50</t>
  </si>
  <si>
    <t>06.25 - 12.50</t>
  </si>
  <si>
    <t>06.00 - 12.25</t>
  </si>
  <si>
    <t>10.50 - 20.00</t>
  </si>
  <si>
    <t>10.75 - 20.00</t>
  </si>
  <si>
    <t>10.75 - 20.25</t>
  </si>
  <si>
    <t>11.00 - 20.25</t>
  </si>
  <si>
    <t>11.25 - 20.25</t>
  </si>
  <si>
    <t>11.25 - 20.50</t>
  </si>
  <si>
    <t>11.50 - 20.50</t>
  </si>
  <si>
    <t>11.75 - 20.75</t>
  </si>
  <si>
    <t>11.75 - 21.00</t>
  </si>
  <si>
    <t>12.00 - 21.00</t>
  </si>
  <si>
    <t>12.00 - 21.25</t>
  </si>
  <si>
    <t>12.25 - 21.25</t>
  </si>
  <si>
    <t>12.25 - 21.50</t>
  </si>
  <si>
    <t>12.50 - 21.50</t>
  </si>
  <si>
    <t>12.75 - 21.50</t>
  </si>
  <si>
    <t>13.00 - 21.50</t>
  </si>
  <si>
    <t xml:space="preserve">Фасад Z1 </t>
  </si>
  <si>
    <t xml:space="preserve">Фасад Z4 </t>
  </si>
  <si>
    <t>Высота фасада</t>
  </si>
  <si>
    <t>2.00 - 5.25</t>
  </si>
  <si>
    <t>4.25 - 9.25</t>
  </si>
  <si>
    <t>8.25 - 16.50</t>
  </si>
  <si>
    <t>13.50 - 20.00</t>
  </si>
  <si>
    <t>5.75 - 11.75</t>
  </si>
  <si>
    <t>2.75 - 6.75</t>
  </si>
  <si>
    <t>1.75 - 3.50</t>
  </si>
  <si>
    <t>1.25 - 2.50</t>
  </si>
  <si>
    <t>1.25 - 4.25</t>
  </si>
  <si>
    <t>1.75 - 5.00</t>
  </si>
  <si>
    <t>3.50 - 7.25</t>
  </si>
  <si>
    <t>6.50 - 12.00</t>
  </si>
  <si>
    <t xml:space="preserve">11.00 - 20.00 </t>
  </si>
  <si>
    <t>8.00 - 14.75</t>
  </si>
  <si>
    <t>Выписка Aventos HL</t>
  </si>
  <si>
    <t>Рычаг Авентос HL, левый</t>
  </si>
  <si>
    <t>Рычаг Авентос HL, правый</t>
  </si>
  <si>
    <t>Заглушка штанги HL</t>
  </si>
  <si>
    <r>
      <t>Силовой механизм HS "</t>
    </r>
    <r>
      <rPr>
        <b/>
        <sz val="9"/>
        <color indexed="8"/>
        <rFont val="Arial"/>
        <family val="2"/>
        <charset val="204"/>
      </rPr>
      <t>X</t>
    </r>
    <r>
      <rPr>
        <sz val="9"/>
        <color indexed="8"/>
        <rFont val="Arial"/>
        <family val="2"/>
        <charset val="204"/>
      </rPr>
      <t>"</t>
    </r>
  </si>
  <si>
    <t>Заглушка круглая (с лого Blum)</t>
  </si>
  <si>
    <r>
      <t>20L2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01.05</t>
    </r>
  </si>
  <si>
    <r>
      <t>20L3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01.06 - L</t>
    </r>
  </si>
  <si>
    <r>
      <t>20L3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01.06 - R</t>
    </r>
  </si>
  <si>
    <t>20L8001 - L</t>
  </si>
  <si>
    <t>20L8001 - R</t>
  </si>
  <si>
    <t>20Q0003A01</t>
  </si>
  <si>
    <t>20Q1061UA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</si>
  <si>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</si>
  <si>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>20F3201</t>
  </si>
  <si>
    <t>Для толщины ДСП, мм</t>
  </si>
  <si>
    <t>Ширина корпуса (KB),мм</t>
  </si>
  <si>
    <t>Необходимая длина поперечного релинга(1094), мм</t>
  </si>
  <si>
    <t>Необходимая длина передней панели(1081), мм</t>
  </si>
  <si>
    <t>Необходимая длина поперечного разделителя(1077), мм</t>
  </si>
  <si>
    <t>Необходимая длина поперечного разделителя c OrgaLine для бутылок, мм</t>
  </si>
  <si>
    <t>Необходимая длина передней панели(1036), мм</t>
  </si>
  <si>
    <t>Необходимая длина поперечного релинга(1046), мм</t>
  </si>
  <si>
    <t>Вставки из стекла</t>
  </si>
  <si>
    <t>Боковая (2шт)</t>
  </si>
  <si>
    <t>Передняя (1шт)</t>
  </si>
  <si>
    <t>Длина,мм</t>
  </si>
  <si>
    <t>Толщина,мм</t>
  </si>
  <si>
    <t>Номинальная длина (NL),мм</t>
  </si>
  <si>
    <t>Высота,мм</t>
  </si>
  <si>
    <t>Толщина материала корпуса, мм</t>
  </si>
  <si>
    <t>Необходимая длина поперечного разделителя - релинг (1104), мм</t>
  </si>
  <si>
    <t>Боковая для Antaro D (2шт)</t>
  </si>
  <si>
    <t>Боковая для Antaro C (2шт)</t>
  </si>
  <si>
    <t>59.5</t>
  </si>
  <si>
    <t>91.5</t>
  </si>
  <si>
    <t>Вставки из стекла/мдф</t>
  </si>
  <si>
    <t>Боковая для TandemBox D (2шт)</t>
  </si>
  <si>
    <t>Соединитель штанги HL</t>
  </si>
  <si>
    <t>20Q153ZA</t>
  </si>
  <si>
    <t>Соединитель штанги HS</t>
  </si>
  <si>
    <t>20Q153ZN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</si>
  <si>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01T</t>
    </r>
  </si>
  <si>
    <t>175H3100</t>
  </si>
  <si>
    <t>ВЕС, кг</t>
  </si>
  <si>
    <t xml:space="preserve">Фасад   Z1 </t>
  </si>
  <si>
    <t xml:space="preserve">Фасад   Z4 </t>
  </si>
  <si>
    <t>1 шт</t>
  </si>
  <si>
    <t>20K1101T</t>
  </si>
  <si>
    <t>2 шт</t>
  </si>
  <si>
    <t xml:space="preserve">20K1301 </t>
  </si>
  <si>
    <t>20K1501</t>
  </si>
  <si>
    <t>20K1501T</t>
  </si>
  <si>
    <t>ВЫПИСКА:</t>
  </si>
  <si>
    <t>1) Силовой механизм - 1 или 2 шт (выбор по коэффициенту мощности)</t>
  </si>
  <si>
    <t xml:space="preserve">20K1101 </t>
  </si>
  <si>
    <t>20K1301T</t>
  </si>
  <si>
    <t>2) Крепление к корпусу (на саморезы) - 1 или 2 шт (от количества силовых механизмов)</t>
  </si>
  <si>
    <t>20K5101</t>
  </si>
  <si>
    <t>3) Крепление фасада -  1 или 2 шт (от количества силовых механизмов)</t>
  </si>
  <si>
    <t xml:space="preserve">3.1) Крепление фасада для массивов </t>
  </si>
  <si>
    <t>20K4A01</t>
  </si>
  <si>
    <t>3.2) Крепление фасада для Z1 (узкие рамки)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</si>
  <si>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шт при ширине корпуса от 900 мм или при коэффициенте мощности от 1800, 4 петли при ширине корпуса 1200 мм или при коэффициенте мощности от 2700)</t>
    </r>
  </si>
  <si>
    <t>4.1) накладная CLIP top BLUMOTION 110°</t>
  </si>
  <si>
    <t>71B3550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</si>
  <si>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петли - при ширине корпуса от 900 мм или при коэффициенте мощности от 1800, 4 петли - при ширине корпуса 1200 мм или при коэффициенте мощности от 2700)</t>
    </r>
  </si>
  <si>
    <t>4.1) накладная CLIP top BLUMOTION 110° (без пружины)</t>
  </si>
  <si>
    <t>70T3550.TL</t>
  </si>
  <si>
    <t>4.2) накладная CLIP top BLUMOTION для aлюминиeвыx рaмoк 95°</t>
  </si>
  <si>
    <t>71B950A</t>
  </si>
  <si>
    <t>4.2) накладная CLIP top BLUMOTION для aлюминиeвыx рaмoк 95° (без пружины)</t>
  </si>
  <si>
    <t>70T950A.TL</t>
  </si>
  <si>
    <t>5)  Ответная планка CLIP, прямая - 2 шт (3-4 шт, в зависимости от количества петель)</t>
  </si>
  <si>
    <t>5)  Ответная планка CLIP, прямая - 2 шт (3-4 шт, в зависимости от количества петель))</t>
  </si>
  <si>
    <t>955.1002 / 955А1002</t>
  </si>
  <si>
    <t>7) Планка с шурупом -1 шт</t>
  </si>
  <si>
    <t>8) Держатель TIP-ON, прямой или крестообразный (на выбор) - 1 шт</t>
  </si>
  <si>
    <t>955.1201 / 955.1501</t>
  </si>
  <si>
    <t>ВЕС</t>
  </si>
  <si>
    <t>кг</t>
  </si>
  <si>
    <t>20K2A01</t>
  </si>
  <si>
    <t>от 0,5 до 1,25</t>
  </si>
  <si>
    <t>от 1,0 до 2,5</t>
  </si>
  <si>
    <t>от 1,7 до 3,8</t>
  </si>
  <si>
    <t>от 2,4 до 5,0</t>
  </si>
  <si>
    <t xml:space="preserve">Cиловой механизм Aventos HK-S "A" </t>
  </si>
  <si>
    <t>Фасады массив (ольха)</t>
  </si>
  <si>
    <t>Фасады МДФ+МДФ (витрины)</t>
  </si>
  <si>
    <t xml:space="preserve">Силовой механизм AVENTOS </t>
  </si>
  <si>
    <t>Силовой механизм AVENTOS</t>
  </si>
  <si>
    <t>Материал фасада</t>
  </si>
  <si>
    <t>Фасады Z1 + Z1</t>
  </si>
  <si>
    <t>Фасады Z4 + Z4</t>
  </si>
  <si>
    <t>Фасады МДФ + Z1</t>
  </si>
  <si>
    <t>Фасады ДСП + Z1</t>
  </si>
  <si>
    <t>Выписка AVENTOS HF</t>
  </si>
  <si>
    <t>Тип AVENTOS</t>
  </si>
  <si>
    <t>Тип телескопического рычага</t>
  </si>
  <si>
    <t>Тип рычага</t>
  </si>
  <si>
    <t>Кол-во сил.мех.</t>
  </si>
  <si>
    <t>Необходимый тип AVENTOS HF</t>
  </si>
  <si>
    <t>Необходимый тип AVENTOS HK</t>
  </si>
  <si>
    <t>Выписка AVENTOS HK</t>
  </si>
  <si>
    <t>Необходимый тип AVENTOS HK-S</t>
  </si>
  <si>
    <t>20K2C01 / 20K2C01T</t>
  </si>
  <si>
    <t>20K2E01 / 20K2E01T</t>
  </si>
  <si>
    <t>Артикул:                                                        BLUMOTION/ TIP-ON</t>
  </si>
  <si>
    <t>Артикул:                                                            BLUMOTION/ TIP-ON</t>
  </si>
  <si>
    <t>Диапозон мощности:</t>
  </si>
  <si>
    <t>Силовой механизм AVENTOS HK-XS 20K1501</t>
  </si>
  <si>
    <t>Силовой механизм AVENTOS HK-XS 20K1301</t>
  </si>
  <si>
    <t>Силовой механизм AVENTOS HK-XS 20K1101</t>
  </si>
  <si>
    <t xml:space="preserve">СИЛОВЫЕ МЕХАНИЗМЫ AVENTOS HK-XS (под TIP-ON): </t>
  </si>
  <si>
    <t>Силовой механизм AVENTOS HK-XS 20K1101T</t>
  </si>
  <si>
    <t>Силовой механизм AVENTOS HK-XS 20K1301T</t>
  </si>
  <si>
    <t>Силовой механизм AVENTOS HK-XS 20K1501T</t>
  </si>
  <si>
    <t xml:space="preserve">СИЛОВЫЕ МЕХАНИЗМЫ AVENTOS HK-XS (под BLUMOTION): </t>
  </si>
  <si>
    <t>Необходимый тип AVENTOS HK-XS под BLUMOTION</t>
  </si>
  <si>
    <t>Необходимый тип AVENTOS HK-XS под TIP-ON</t>
  </si>
  <si>
    <t>Базовый комплект под BLUMOTION</t>
  </si>
  <si>
    <t>Диапазон мощности</t>
  </si>
  <si>
    <t>Кол-во</t>
  </si>
  <si>
    <r>
      <rPr>
        <b/>
        <sz val="16"/>
        <color theme="0"/>
        <rFont val="Arial"/>
        <family val="2"/>
        <charset val="204"/>
      </rPr>
      <t xml:space="preserve">А        </t>
    </r>
    <r>
      <rPr>
        <b/>
        <sz val="9"/>
        <color theme="0"/>
        <rFont val="Arial"/>
        <family val="2"/>
        <charset val="204"/>
      </rPr>
      <t xml:space="preserve">                              (20S2A01)</t>
    </r>
  </si>
  <si>
    <r>
      <rPr>
        <b/>
        <sz val="16"/>
        <color theme="0"/>
        <rFont val="Arial"/>
        <family val="2"/>
        <charset val="204"/>
      </rPr>
      <t xml:space="preserve">В      </t>
    </r>
    <r>
      <rPr>
        <b/>
        <sz val="9"/>
        <color theme="0"/>
        <rFont val="Arial"/>
        <family val="2"/>
        <charset val="204"/>
      </rPr>
      <t xml:space="preserve">                               (20S2B01)</t>
    </r>
  </si>
  <si>
    <r>
      <rPr>
        <b/>
        <sz val="16"/>
        <color theme="0"/>
        <rFont val="Arial"/>
        <family val="2"/>
        <charset val="204"/>
      </rPr>
      <t xml:space="preserve">C </t>
    </r>
    <r>
      <rPr>
        <b/>
        <sz val="9"/>
        <color theme="0"/>
        <rFont val="Arial"/>
        <family val="2"/>
        <charset val="204"/>
      </rPr>
      <t xml:space="preserve">                                      (20S2C01)</t>
    </r>
  </si>
  <si>
    <r>
      <rPr>
        <b/>
        <sz val="16"/>
        <color theme="0"/>
        <rFont val="Arial"/>
        <family val="2"/>
        <charset val="204"/>
      </rPr>
      <t xml:space="preserve">E </t>
    </r>
    <r>
      <rPr>
        <b/>
        <sz val="9"/>
        <color theme="0"/>
        <rFont val="Arial"/>
        <family val="2"/>
        <charset val="204"/>
      </rPr>
      <t xml:space="preserve">                                                      (20S2E01)</t>
    </r>
  </si>
  <si>
    <r>
      <rPr>
        <b/>
        <sz val="16"/>
        <color theme="0"/>
        <rFont val="Arial"/>
        <family val="2"/>
        <charset val="204"/>
      </rPr>
      <t xml:space="preserve">F  </t>
    </r>
    <r>
      <rPr>
        <b/>
        <sz val="9"/>
        <color theme="0"/>
        <rFont val="Arial"/>
        <family val="2"/>
        <charset val="204"/>
      </rPr>
      <t xml:space="preserve">                                                      (20S2F01)</t>
    </r>
  </si>
  <si>
    <r>
      <rPr>
        <b/>
        <sz val="16"/>
        <color theme="0"/>
        <rFont val="Arial"/>
        <family val="2"/>
        <charset val="204"/>
      </rPr>
      <t>H</t>
    </r>
    <r>
      <rPr>
        <b/>
        <sz val="9"/>
        <color theme="0"/>
        <rFont val="Arial"/>
        <family val="2"/>
        <charset val="204"/>
      </rPr>
      <t xml:space="preserve">                                                (20S2H01)</t>
    </r>
  </si>
  <si>
    <r>
      <rPr>
        <b/>
        <sz val="16"/>
        <color theme="0"/>
        <rFont val="Arial"/>
        <family val="2"/>
        <charset val="204"/>
      </rPr>
      <t xml:space="preserve">I  </t>
    </r>
    <r>
      <rPr>
        <b/>
        <sz val="9"/>
        <color theme="0"/>
        <rFont val="Arial"/>
        <family val="2"/>
        <charset val="204"/>
      </rPr>
      <t xml:space="preserve">                                                  (20S2I01)</t>
    </r>
  </si>
  <si>
    <t>Тип механизма Aventos HS</t>
  </si>
  <si>
    <t>Рекомендации</t>
  </si>
  <si>
    <t>Напротив ячейки с материалом Вашего фасада введите его высоту (от 480 до 1040 мм) и ширину (до 1800 мм).</t>
  </si>
  <si>
    <t>Напротив ячейки с материалом Вашего фасада введите его высоту (от 350 до 800 мм) и ширину (до 1800 мм).</t>
  </si>
  <si>
    <t>Напротив ячейки с материалом Вашего фасада введите его высоту (от 300 до 580 мм) и ширину (до 1800 мм).</t>
  </si>
  <si>
    <t>Напротив ячейки с материалом Вашего фасада введите его высоту (от 205 до 600 мм) и ширину (до 1800 мм).</t>
  </si>
  <si>
    <r>
      <t>1. Силовой механизм HK "</t>
    </r>
    <r>
      <rPr>
        <b/>
        <sz val="12"/>
        <color indexed="8"/>
        <rFont val="Arial"/>
        <family val="2"/>
        <charset val="204"/>
      </rPr>
      <t>XX</t>
    </r>
    <r>
      <rPr>
        <sz val="10"/>
        <color indexed="8"/>
        <rFont val="Arial"/>
        <family val="2"/>
        <charset val="204"/>
      </rPr>
      <t>"</t>
    </r>
  </si>
  <si>
    <t>2. Заглушка большая (Серая), левая</t>
  </si>
  <si>
    <t>3. Заглушка большая (Серая), правая</t>
  </si>
  <si>
    <t>4. Заглушка малая (с лого Blum)</t>
  </si>
  <si>
    <t>5. Крепление фасада для массива</t>
  </si>
  <si>
    <t>956.1002</t>
  </si>
  <si>
    <t>956A1002</t>
  </si>
  <si>
    <t>Выписка Aventos HK-S</t>
  </si>
  <si>
    <r>
      <t>1. Силовой механизм HK-S "</t>
    </r>
    <r>
      <rPr>
        <b/>
        <sz val="12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</si>
  <si>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t>2. Заглушка основная (Серая), левая</t>
  </si>
  <si>
    <t>3. Заглушка основная (Серая), правая</t>
  </si>
  <si>
    <t>4. Крепление фасада для массива(New)</t>
  </si>
  <si>
    <r>
      <t xml:space="preserve">6.а) TipON стандартный </t>
    </r>
    <r>
      <rPr>
        <sz val="10"/>
        <color rgb="FFFF0000"/>
        <rFont val="Arial"/>
        <family val="2"/>
        <charset val="204"/>
      </rPr>
      <t>(фасад высотой до 500 мм)</t>
    </r>
  </si>
  <si>
    <r>
      <t xml:space="preserve">6.б) TipON усиленный </t>
    </r>
    <r>
      <rPr>
        <sz val="10"/>
        <color rgb="FFFF0000"/>
        <rFont val="Arial"/>
        <family val="2"/>
        <charset val="204"/>
      </rPr>
      <t>(фасад высотой выше 500 мм)</t>
    </r>
  </si>
  <si>
    <t>7. Магнитная планка (под шуруп)</t>
  </si>
  <si>
    <r>
      <t>6.а) TipON стандартный</t>
    </r>
    <r>
      <rPr>
        <sz val="10"/>
        <color rgb="FFFF0000"/>
        <rFont val="Arial"/>
        <family val="2"/>
        <charset val="204"/>
      </rPr>
      <t xml:space="preserve"> (фасад высотой до 500 мм)</t>
    </r>
  </si>
  <si>
    <t>6) TIP-ON стандартный (фасад высотой до 500 мм) или усиленный (фасад высотой выше 500 мм), на выбор - 1 шт</t>
  </si>
  <si>
    <t>Напротив ячейки с материалом Вашего фасада введите его высоту (от 150 до 600 мм) и ширину (до 900 мм).</t>
  </si>
  <si>
    <t>Напротив ячейки с материалом Вашего фасада введите его высоту (от 240 до 600 мм) и ширину.</t>
  </si>
  <si>
    <t>Фасад массив (ольха)</t>
  </si>
  <si>
    <r>
      <rPr>
        <b/>
        <sz val="16"/>
        <color theme="0"/>
        <rFont val="Arial"/>
        <family val="2"/>
        <charset val="204"/>
      </rPr>
      <t xml:space="preserve">D       </t>
    </r>
    <r>
      <rPr>
        <b/>
        <sz val="9"/>
        <color theme="0"/>
        <rFont val="Arial"/>
        <family val="2"/>
        <charset val="204"/>
      </rPr>
      <t xml:space="preserve">                                                 (20S2D01)</t>
    </r>
  </si>
  <si>
    <r>
      <rPr>
        <b/>
        <sz val="16"/>
        <color theme="0"/>
        <rFont val="Arial"/>
        <family val="2"/>
        <charset val="204"/>
      </rPr>
      <t xml:space="preserve">G   </t>
    </r>
    <r>
      <rPr>
        <b/>
        <sz val="9"/>
        <color theme="0"/>
        <rFont val="Arial"/>
        <family val="2"/>
        <charset val="204"/>
      </rPr>
      <t xml:space="preserve">                                                      (20S2G01)</t>
    </r>
  </si>
  <si>
    <t>4. Круглый вал синхронизации TIP-ON BLUMOTION под раскрой, длина=1125 мм (T60.1125W) - 1 шт.</t>
  </si>
  <si>
    <t>3. Шестерни вала синхронизации TIP-ON BLUMOTION (T60.000D) - 2 шт.</t>
  </si>
  <si>
    <t>2. (2a)-Механизм TIP-ON BLUMOTION и (2b)-триггер TIP-ON BLUMOTION в комплекте - 1 к-т</t>
  </si>
  <si>
    <t>1. Направляющие TIP-ON BLUMOTION для LEGRABOX, левая / правая (к-т) - 1 к-т</t>
  </si>
  <si>
    <t xml:space="preserve">Одного вала синхронизации хватит на </t>
  </si>
  <si>
    <t>L5</t>
  </si>
  <si>
    <t>Максимальный вес планируемого наполнения, кг</t>
  </si>
  <si>
    <t>L3</t>
  </si>
  <si>
    <r>
      <t>Используемые значения при расчете плотности материалов:  ДСП -- 680 кг/м</t>
    </r>
    <r>
      <rPr>
        <sz val="9"/>
        <color rgb="FFFF0000"/>
        <rFont val="Calibri"/>
        <family val="2"/>
      </rPr>
      <t xml:space="preserve">³; Массив Ольхи -- 550 кг/м³;  Массив Ясеня -- 750 кг/м³; Массив Дуба -- 690 кг/м³; МДФ -- 760 кг/м³  </t>
    </r>
  </si>
  <si>
    <t>Вес ручки, гр</t>
  </si>
  <si>
    <t>L1</t>
  </si>
  <si>
    <t>Тип механизма                                                                                 ↙      ↓       ↘</t>
  </si>
  <si>
    <t>Дополнительные параметры</t>
  </si>
  <si>
    <t>50-60 кг</t>
  </si>
  <si>
    <t>40-50 кг</t>
  </si>
  <si>
    <t>30-40 кг</t>
  </si>
  <si>
    <t>20-30 кг</t>
  </si>
  <si>
    <t>10-20 кг</t>
  </si>
  <si>
    <t>0-10 кг</t>
  </si>
  <si>
    <t>Вес ящика →</t>
  </si>
  <si>
    <t>Ширина фасада</t>
  </si>
  <si>
    <t>19 мм</t>
  </si>
  <si>
    <t>МДФ</t>
  </si>
  <si>
    <t>Толщина</t>
  </si>
  <si>
    <t>Материал</t>
  </si>
  <si>
    <t>Параметры фасада</t>
  </si>
  <si>
    <t>Внутренняя ширина корпуса, мм</t>
  </si>
  <si>
    <t>Общий вес ящика, кг</t>
  </si>
  <si>
    <t>Вес наполнения, кг</t>
  </si>
  <si>
    <t>Вес ручки, кг</t>
  </si>
  <si>
    <t>Вес ящика, кг</t>
  </si>
  <si>
    <t>Длина направляющей (NL), мм</t>
  </si>
  <si>
    <t>Высота боковин ящика</t>
  </si>
  <si>
    <t>РЕЗУЛЬТАТ:</t>
  </si>
  <si>
    <t>Размеры ящика</t>
  </si>
  <si>
    <t>В областях окрашеных в желтый -вводите значение вручную</t>
  </si>
  <si>
    <t>В областях окрашеных в зеленый -выбирайте значение из выпадающего списка</t>
  </si>
  <si>
    <t>ВНИМАНИЕ! При расчете веса ящика получаются ориентировочные значения!</t>
  </si>
  <si>
    <t>переменная</t>
  </si>
  <si>
    <t>C вн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</si>
  <si>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 </t>
    </r>
    <r>
      <rPr>
        <sz val="11"/>
        <color theme="1"/>
        <rFont val="Calibri"/>
        <family val="2"/>
        <charset val="204"/>
        <scheme val="minor"/>
      </rPr>
      <t>внутренний</t>
    </r>
  </si>
  <si>
    <t>M вн</t>
  </si>
  <si>
    <t>ДВП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</si>
  <si>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 xml:space="preserve">M </t>
    </r>
    <r>
      <rPr>
        <sz val="11"/>
        <color theme="1"/>
        <rFont val="Calibri"/>
        <family val="2"/>
        <charset val="204"/>
        <scheme val="minor"/>
      </rPr>
      <t>внутренний</t>
    </r>
  </si>
  <si>
    <t>F</t>
  </si>
  <si>
    <t>Фасад</t>
  </si>
  <si>
    <t>4 мм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</si>
  <si>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F</t>
    </r>
  </si>
  <si>
    <t>C</t>
  </si>
  <si>
    <t>Дно</t>
  </si>
  <si>
    <t>Массив Дуба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</si>
  <si>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</t>
    </r>
  </si>
  <si>
    <t>K</t>
  </si>
  <si>
    <t>Задн стенка</t>
  </si>
  <si>
    <t>18 мм</t>
  </si>
  <si>
    <t>Массив Ясеня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</si>
  <si>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K</t>
    </r>
  </si>
  <si>
    <t>N</t>
  </si>
  <si>
    <t>Ящик</t>
  </si>
  <si>
    <t>Только задняя царга</t>
  </si>
  <si>
    <t>16 мм</t>
  </si>
  <si>
    <t>Массив Ольхи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</si>
  <si>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>M</t>
    </r>
  </si>
  <si>
    <t>M</t>
  </si>
  <si>
    <t>Вес</t>
  </si>
  <si>
    <t>толщина</t>
  </si>
  <si>
    <t>плотность</t>
  </si>
  <si>
    <t>квадратура</t>
  </si>
  <si>
    <t>Элемент</t>
  </si>
  <si>
    <t>Передняя и задняя царга</t>
  </si>
  <si>
    <t>10 мм</t>
  </si>
  <si>
    <t>ДСП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</si>
  <si>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N</t>
    </r>
  </si>
  <si>
    <t>задн ст</t>
  </si>
  <si>
    <t>Веса ящика 500</t>
  </si>
  <si>
    <t>Веса ящика 450</t>
  </si>
  <si>
    <t>выс</t>
  </si>
  <si>
    <t>Номер столбца по весу</t>
  </si>
  <si>
    <t>Итоги</t>
  </si>
  <si>
    <t>Пер царга</t>
  </si>
  <si>
    <t>Толщина материала</t>
  </si>
  <si>
    <t>Плотность</t>
  </si>
  <si>
    <t>NL</t>
  </si>
  <si>
    <t>Все высоты</t>
  </si>
  <si>
    <t>6. Вал синхронизации TIP-ON BLUMOTION, Длина=1125 мм (T60.1125W) - 1 шт.</t>
  </si>
  <si>
    <t>5. Шестерни вала синхронизации TIP-ON BLUMOTION (T60.000D)- 2 шт.</t>
  </si>
  <si>
    <t>4. Триггер TIP-ON BLUMOTION левы L + правый  R (входит в комплект с механизмом)</t>
  </si>
  <si>
    <t>3. Механизм TIP-ON BLUMOTION для MOVENTO в комплекте с тригером (L+R)-2 шт.</t>
  </si>
  <si>
    <t>2. Замок, (Крепление фасада MOVENTO) левый T51.7601 L + правый T51.7601 R - 2 шт</t>
  </si>
  <si>
    <t>1. Направляющие TIP-ON BLUMOTION, левая + правая (к-т) - 1 к-т</t>
  </si>
  <si>
    <t xml:space="preserve"> МДФ -- 760 кг/м³ </t>
  </si>
  <si>
    <t xml:space="preserve"> Массив Дуба -- 690 кг/м³ </t>
  </si>
  <si>
    <t>Массив Ясеня -- 750 кг/м³</t>
  </si>
  <si>
    <t>Высота фасада, мм</t>
  </si>
  <si>
    <t xml:space="preserve">Массив Ольхи -- 550 кг/м³ </t>
  </si>
  <si>
    <t>Ширина фасада, мм</t>
  </si>
  <si>
    <t xml:space="preserve"> ДСП -- 680 кг/м³ </t>
  </si>
  <si>
    <t>Высота боковин ящика, мм</t>
  </si>
  <si>
    <t xml:space="preserve">Используемые при расчете коэф. плотности материалов:  </t>
  </si>
  <si>
    <t>S1</t>
  </si>
  <si>
    <r>
      <t xml:space="preserve">Тип механизма                                                                                            </t>
    </r>
    <r>
      <rPr>
        <b/>
        <sz val="9"/>
        <color theme="0"/>
        <rFont val="Calibri"/>
        <family val="2"/>
        <charset val="204"/>
      </rPr>
      <t>↙  ↓</t>
    </r>
    <r>
      <rPr>
        <b/>
        <sz val="9"/>
        <color theme="0"/>
        <rFont val="Calibri"/>
        <family val="2"/>
        <charset val="204"/>
        <scheme val="minor"/>
      </rPr>
      <t xml:space="preserve">   </t>
    </r>
    <r>
      <rPr>
        <b/>
        <sz val="9"/>
        <color theme="0"/>
        <rFont val="Calibri"/>
        <family val="2"/>
        <charset val="204"/>
      </rPr>
      <t>↓  ↘</t>
    </r>
  </si>
  <si>
    <r>
      <t xml:space="preserve">Вес ящика </t>
    </r>
    <r>
      <rPr>
        <b/>
        <sz val="9"/>
        <color theme="0"/>
        <rFont val="Calibri"/>
        <family val="2"/>
        <charset val="204"/>
      </rPr>
      <t>→</t>
    </r>
  </si>
  <si>
    <t>Рекомендуемый тип механизма подсвечивается красным согласно заданным вами параметрам</t>
  </si>
  <si>
    <t>Наличие передней царги</t>
  </si>
  <si>
    <t>Тип ящика</t>
  </si>
  <si>
    <t>Материал дна ящика</t>
  </si>
  <si>
    <t>Материал стенок ящика</t>
  </si>
  <si>
    <t>Параметры материала</t>
  </si>
  <si>
    <t>фасад</t>
  </si>
  <si>
    <t>дно</t>
  </si>
  <si>
    <t>царга П</t>
  </si>
  <si>
    <t>царга З</t>
  </si>
  <si>
    <t>боковина П</t>
  </si>
  <si>
    <t>боковина Л</t>
  </si>
  <si>
    <t>высота M</t>
  </si>
  <si>
    <t xml:space="preserve"> ДВП -- 900 кг/м³</t>
  </si>
  <si>
    <t xml:space="preserve">               TIP-ON BLUMOTION  для LEGRABOX</t>
  </si>
  <si>
    <t>С О Д Е Р Ж А Н И Е:</t>
  </si>
  <si>
    <t xml:space="preserve">     3)   AVENTOS HF - /схема монтажа/</t>
  </si>
  <si>
    <t xml:space="preserve">     2)   AVENTOS HF - /разные фасады/</t>
  </si>
  <si>
    <t xml:space="preserve">     1)   AVENTOS HF</t>
  </si>
  <si>
    <t xml:space="preserve">     4)   AVENTOS HS</t>
  </si>
  <si>
    <t xml:space="preserve">     5)   AVENTOS HS - /схема монтажа/</t>
  </si>
  <si>
    <t xml:space="preserve">     6)   AVENTOS HL</t>
  </si>
  <si>
    <t xml:space="preserve">     8)   AVENTOS HK</t>
  </si>
  <si>
    <t xml:space="preserve">     7)   AVENTOS HL - /схема монтажа/</t>
  </si>
  <si>
    <t xml:space="preserve">     9)   AVENTOS HK - /схема монтажа/</t>
  </si>
  <si>
    <t>В областях окрашеных в зеленый -выберите значение из предложенного списка -</t>
  </si>
  <si>
    <t>В областях окрашеных в желтый -введите значение вручную -</t>
  </si>
  <si>
    <t>РЕЗУЛЬТАТ РАСЧЁТА:</t>
  </si>
  <si>
    <t>Фасады ДСП (16 мм) с наклеенным СТЕКЛОМ (4 мм)+ ДСП (16 мм) с наклеенным СТЕКЛОМ (4 мм)</t>
  </si>
  <si>
    <t>Фасад ДСП (16 мм) с наклеенным СТЕКЛОМ (4 мм)</t>
  </si>
  <si>
    <t>20K2C01 + 20K2E01 /                                    20K2C01T + 20K2E01T</t>
  </si>
  <si>
    <t>Задать вопрос:</t>
  </si>
  <si>
    <t>дополнительная информация об изделии в интернете</t>
  </si>
  <si>
    <t xml:space="preserve">   ВНИМАНИЕ! При расчете веса ящика получаются ориентировочные значения!</t>
  </si>
  <si>
    <t>ВЫПИСКА И СХЕМА МОНТАЖА TIP-ON BLUMOTION ДЛЯ LEGRABOX</t>
  </si>
  <si>
    <t>← СОДЕРЖАНИЕ:</t>
  </si>
  <si>
    <t xml:space="preserve">               TIP-ON BLUMOTION  для TANDEMBOX</t>
  </si>
  <si>
    <t>Высота боковин ящика TANDEMBOX</t>
  </si>
  <si>
    <t>Данный калькулятор предназначен для быстрого расчёта веса фасадов и правильного выбора необходимых механизмов BLUM.</t>
  </si>
  <si>
    <t xml:space="preserve">Выбрав в содержании нужный тип механизма AVENTOS, калькулятор предлагает различные варианты часто используемых материалов фасадов. </t>
  </si>
  <si>
    <t xml:space="preserve">В калькуляторе можно ознакомиться со схемами монтажа механизмов BLUM  и перейдя по ссылкам в содержании получить дополнительную информацию об изделиях. </t>
  </si>
  <si>
    <t>Недопустимое значение</t>
  </si>
  <si>
    <t>Поля заполнения данных выделены оранжевым:</t>
  </si>
  <si>
    <t>Для оптимального функционирования и увеличения области срабатывания рекомендуется использовать синхронизатор TIP-ON BLUMOTION.</t>
  </si>
  <si>
    <t xml:space="preserve">Для определения нужного типа механизмов AVENTOS или TIP-ON BLUMOTION, необходимо внести в ячейках таблицы требуемые параметры, напротив выбранного материала (например: размеры корпуса и вес ручки). </t>
  </si>
  <si>
    <t>Описание:</t>
  </si>
  <si>
    <t>Наши контакты:</t>
  </si>
  <si>
    <t>+375 17 3 200 100 тел./факс</t>
  </si>
  <si>
    <t>+375 29 3 940 100 Velcom</t>
  </si>
  <si>
    <t>+375 33 3 640 100 MTC</t>
  </si>
  <si>
    <t>blum@antarion.by</t>
  </si>
  <si>
    <t>Минская обл., Минский р-н, Новодворский с/с, 40-8а, район д. Большое Стиклево, 2 этаж.</t>
  </si>
  <si>
    <t>Время работы: Пн-Пт. 09:00-18:00 (без перерыва на обед).</t>
  </si>
  <si>
    <t>Офис и фирменный магазин Blum</t>
  </si>
  <si>
    <t>Офис и склад в одном месте.</t>
  </si>
  <si>
    <t>Номинальная длина (NL), мм</t>
  </si>
  <si>
    <t>Высота задней стенки, мм</t>
  </si>
  <si>
    <t>Ширина задней стенки, мм</t>
  </si>
  <si>
    <t>Ширина дна ящика, мм</t>
  </si>
  <si>
    <t>Длина дна ящика, мм</t>
  </si>
  <si>
    <t>B</t>
  </si>
  <si>
    <t>D</t>
  </si>
  <si>
    <t>ПРИМЕР:</t>
  </si>
  <si>
    <t>Высота LEGRABOX</t>
  </si>
  <si>
    <t>Высота TANDEMBOX</t>
  </si>
  <si>
    <t>написать нам письмо</t>
  </si>
  <si>
    <t>Внутренняя ширина корпуса (LW), мм</t>
  </si>
  <si>
    <t>Размер ширины противоскользящего коврика в TBX, мм</t>
  </si>
  <si>
    <t>Размер глубины противоскользящего коврика в TBX, мм</t>
  </si>
  <si>
    <t>Размер ширины противоскользящего коврика в LBX, мм</t>
  </si>
  <si>
    <t>Размер глубины противоскользящего коврика в LBX, мм</t>
  </si>
  <si>
    <t>Размер глубины для внутреннего ящика LBX с передней вставкой</t>
  </si>
  <si>
    <t xml:space="preserve">Расчёт для стандартного и внутреннего ящика LEGRABOX:
Длина: НД- 27 мм
(Номинальная Длина)
Ширина: ВШК- 43 мм
(Внутреняя Ширина Корпуса)
</t>
  </si>
  <si>
    <t xml:space="preserve">Внутренний ящик с передней вставкой
Расчёт:
Длина: НД - 40 мм
Ширина: ВШК- 43 мм
</t>
  </si>
  <si>
    <t>Расчёт размеров ковриков по длине и ширине: Ширна коврика:  ВШК - 85 мм Длина коврика:  НД -  25 мм.   ВШК: внутреняя ширина корпуса НД: номинальная длина выдвижной системы</t>
  </si>
  <si>
    <r>
      <rPr>
        <b/>
        <sz val="14"/>
        <rFont val="Arial"/>
        <family val="2"/>
        <charset val="204"/>
      </rPr>
      <t>Фасад ДСП</t>
    </r>
    <r>
      <rPr>
        <b/>
        <sz val="10"/>
        <rFont val="Arial"/>
        <family val="2"/>
        <charset val="204"/>
      </rPr>
      <t xml:space="preserve"> (16 мм)</t>
    </r>
    <r>
      <rPr>
        <b/>
        <sz val="12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с наклеенным СТЕКЛОМ</t>
    </r>
    <r>
      <rPr>
        <b/>
        <sz val="12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(4 мм)</t>
    </r>
  </si>
  <si>
    <t>Толщина фасада, мм</t>
  </si>
  <si>
    <r>
      <t xml:space="preserve">Фасады ДСП +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</si>
  <si>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Фасады МДФ +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</si>
  <si>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
</t>
    </r>
    <r>
      <rPr>
        <b/>
        <sz val="10"/>
        <rFont val="Arial"/>
        <family val="2"/>
        <charset val="204"/>
      </rPr>
      <t>(плотность 680 кг/м³)</t>
    </r>
  </si>
  <si>
    <r>
      <rPr>
        <b/>
        <sz val="14"/>
        <rFont val="Arial"/>
        <family val="2"/>
        <charset val="204"/>
      </rPr>
      <t>Фасад МДФ</t>
    </r>
    <r>
      <rPr>
        <b/>
        <sz val="16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</si>
  <si>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</si>
  <si>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t>наименование:</t>
  </si>
  <si>
    <r>
      <t>Силовой механизм HL "</t>
    </r>
    <r>
      <rPr>
        <b/>
        <sz val="10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</si>
  <si>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</si>
  <si>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</si>
  <si>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</si>
  <si>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 ДСП </t>
    </r>
    <r>
      <rPr>
        <b/>
        <sz val="12"/>
        <rFont val="Arial"/>
        <family val="2"/>
        <charset val="204"/>
      </rPr>
      <t>(плотность 680 кг/м³)</t>
    </r>
  </si>
  <si>
    <r>
      <t xml:space="preserve">Фасад МДФ </t>
    </r>
    <r>
      <rPr>
        <b/>
        <sz val="12"/>
        <rFont val="Arial"/>
        <family val="2"/>
        <charset val="204"/>
      </rPr>
      <t>(плотность 760 кг/м³)</t>
    </r>
  </si>
  <si>
    <t xml:space="preserve">Н </t>
  </si>
  <si>
    <t xml:space="preserve">
=</t>
  </si>
  <si>
    <r>
      <t>20S2</t>
    </r>
    <r>
      <rPr>
        <b/>
        <sz val="14"/>
        <rFont val="Arial"/>
        <family val="2"/>
        <charset val="204"/>
      </rPr>
      <t>X</t>
    </r>
    <r>
      <rPr>
        <sz val="10"/>
        <rFont val="Arial"/>
      </rPr>
      <t>01.05</t>
    </r>
  </si>
  <si>
    <t>Позиция крепления силового механизма:</t>
  </si>
  <si>
    <t>Введите высоту корпуса (мм):</t>
  </si>
  <si>
    <t>Высота нижнего фасада (мм):</t>
  </si>
  <si>
    <t>Наложение фасада на боковину корпуса (мм):</t>
  </si>
  <si>
    <t>Для получения необходимых размеров заполните крассные ячейки:</t>
  </si>
  <si>
    <t>22K23***/ 22K23***T</t>
  </si>
  <si>
    <t>22K25*** / 22K25***T</t>
  </si>
  <si>
    <t>22K27*** / 22K27***T</t>
  </si>
  <si>
    <t>22K29*** / 22K29***T</t>
  </si>
  <si>
    <t xml:space="preserve">   12)   AVENTOS HK-S</t>
  </si>
  <si>
    <t xml:space="preserve">   13)   AVENTOS HK-S - /схема монтажа/</t>
  </si>
  <si>
    <t xml:space="preserve">   14)   AVENTOS HK-XS</t>
  </si>
  <si>
    <t xml:space="preserve">   15)   AVENTOS HK-XS - /схема монтажа/</t>
  </si>
  <si>
    <t xml:space="preserve">   16)   TIP-ON BLUMOTION для LEGRABOX</t>
  </si>
  <si>
    <t xml:space="preserve">   17)   TIP-ON BLUMOTION для LEGRABOX - /схема монтажа/</t>
  </si>
  <si>
    <t xml:space="preserve">   18)   TIP-ON BUMOTION для MOVENTO</t>
  </si>
  <si>
    <t xml:space="preserve">   19)   TIP-ON BUMOTION для MOVENTO - /схема монтажа/</t>
  </si>
  <si>
    <t xml:space="preserve">   20)   TIP-ON BLUMOTION для TANDEMBOX</t>
  </si>
  <si>
    <t xml:space="preserve">   21)   TIP-ON BLUMOTION для TANDEMBOX - /схема монтажа/</t>
  </si>
  <si>
    <t>Комплект с TIP-ON</t>
  </si>
  <si>
    <t>Позиция крепления механизма в корпусе:</t>
  </si>
  <si>
    <t>Позиция крепления фасада:</t>
  </si>
  <si>
    <t>Выберите необходимые значения в двух ячейках</t>
  </si>
  <si>
    <t>Накладная петля</t>
  </si>
  <si>
    <t>Полунакладная петля</t>
  </si>
  <si>
    <t>Толщина крышки корпуса в мм, (SOB)</t>
  </si>
  <si>
    <t>14 мм</t>
  </si>
  <si>
    <t>15 мм</t>
  </si>
  <si>
    <t>17 мм</t>
  </si>
  <si>
    <t>20 мм</t>
  </si>
  <si>
    <t>21 мм</t>
  </si>
  <si>
    <t>22 мм</t>
  </si>
  <si>
    <t>23 мм</t>
  </si>
  <si>
    <t>24 мм</t>
  </si>
  <si>
    <t>25 мм</t>
  </si>
  <si>
    <t>26 мм</t>
  </si>
  <si>
    <t>27 мм</t>
  </si>
  <si>
    <t>28 мм</t>
  </si>
  <si>
    <t>29 мм</t>
  </si>
  <si>
    <t>30 мм</t>
  </si>
  <si>
    <t>1 мм</t>
  </si>
  <si>
    <t>2 мм</t>
  </si>
  <si>
    <t>3 мм</t>
  </si>
  <si>
    <t>5 мм</t>
  </si>
  <si>
    <t>6 мм</t>
  </si>
  <si>
    <t>7 мм</t>
  </si>
  <si>
    <t>8 мм</t>
  </si>
  <si>
    <t>9 мм</t>
  </si>
  <si>
    <t>11 мм</t>
  </si>
  <si>
    <t>12 мм</t>
  </si>
  <si>
    <t>13 мм</t>
  </si>
  <si>
    <t>H  =</t>
  </si>
  <si>
    <t>Наложение фасада, при ответной планке 0 мм, (тип петли)</t>
  </si>
  <si>
    <t>Верхнее наложение (Fao), в мм</t>
  </si>
  <si>
    <t>Боковое наложение (SFA), в мм</t>
  </si>
  <si>
    <t>AVENTOS HK-XS для вкладных конструкций</t>
  </si>
  <si>
    <t xml:space="preserve">Расчет асимметричных фасадов </t>
  </si>
  <si>
    <t>Асимметричные фасады (верхний фасад всегда выше нижнего)</t>
  </si>
  <si>
    <r>
      <t>При установке ограничителя угла открывания 104</t>
    </r>
    <r>
      <rPr>
        <b/>
        <sz val="12"/>
        <rFont val="Calibri"/>
        <family val="2"/>
        <charset val="204"/>
      </rPr>
      <t>°:</t>
    </r>
  </si>
  <si>
    <r>
      <t>При установке ограничителя угла открывания 83</t>
    </r>
    <r>
      <rPr>
        <b/>
        <sz val="12"/>
        <rFont val="Calibri"/>
        <family val="2"/>
        <charset val="204"/>
      </rPr>
      <t>°:</t>
    </r>
  </si>
  <si>
    <t>Необходимое пространство над корпусом</t>
  </si>
  <si>
    <t>Введите высоту верхнего фасада (FH):</t>
  </si>
  <si>
    <t>Необходимое пространство над корпусом:</t>
  </si>
  <si>
    <t>Позиция крепления ответной планки телескопического рычага</t>
  </si>
  <si>
    <t>Необходимая длина вала синхронизации, мм</t>
  </si>
  <si>
    <t>Наружная ширина корпуса, мм</t>
  </si>
  <si>
    <t>Колличество ящиков, на которое достаточно одного вала синхронизации, шт</t>
  </si>
  <si>
    <r>
      <t xml:space="preserve">TANDEMBOX 
</t>
    </r>
    <r>
      <rPr>
        <sz val="12"/>
        <color theme="1"/>
        <rFont val="Calibri"/>
        <family val="2"/>
        <charset val="204"/>
        <scheme val="minor"/>
      </rPr>
      <t>(Внутренняя ширина корпуса - 240 мм)</t>
    </r>
  </si>
  <si>
    <r>
      <t xml:space="preserve">LEGRABOX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</si>
  <si>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LEGRABOX для ящика под мойку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</si>
  <si>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Внутренняя ширина корпуса, мм 
</t>
    </r>
    <r>
      <rPr>
        <sz val="12"/>
        <color theme="1"/>
        <rFont val="Calibri"/>
        <family val="2"/>
        <charset val="204"/>
        <scheme val="minor"/>
      </rPr>
      <t>(толщина боковин корпуса 18 мм)</t>
    </r>
  </si>
  <si>
    <r>
      <t xml:space="preserve">MOVENTO
</t>
    </r>
    <r>
      <rPr>
        <sz val="12"/>
        <color theme="1"/>
        <rFont val="Calibri"/>
        <family val="2"/>
        <charset val="204"/>
        <scheme val="minor"/>
      </rPr>
      <t>(Внутренняя ширина корпуса - 267 мм)</t>
    </r>
  </si>
  <si>
    <t>Вал синхронизации TIP-ON BLUMOTION (T60.1125W; длина=1125 мм) для:</t>
  </si>
  <si>
    <t xml:space="preserve">   22)   TANDEMBOX Intivo, Antaro, Plus - расчёт боковых вставок</t>
  </si>
  <si>
    <t xml:space="preserve">   23)   Расчёт размеров дна и задней стенки TANDEMBOX</t>
  </si>
  <si>
    <t xml:space="preserve">   24)   Расчёт размеров дна и задней стенки LEGRABOX</t>
  </si>
  <si>
    <t>Раскрой валов синхронизации TIP-ON BLUMOTION и TIP-ON</t>
  </si>
  <si>
    <t xml:space="preserve">   25)   Раскрой валов синхронизации TIP-ON BLUMOTION и TIP-ON</t>
  </si>
  <si>
    <t xml:space="preserve">   11)   AVENTOS HK top - /схема монтажа/</t>
  </si>
  <si>
    <t xml:space="preserve">   10)   AVENTOS HK top</t>
  </si>
  <si>
    <t>Комплект силового механизма (вес в кг)</t>
  </si>
  <si>
    <t>2 силовых механизма AVENTOS HK 23</t>
  </si>
  <si>
    <t>2 силовых механизма AVENTOS HK 25</t>
  </si>
  <si>
    <t>2 силовых механизма AVENTOS HK 27</t>
  </si>
  <si>
    <t>2 силовых механизма AVENTOS HK 29</t>
  </si>
  <si>
    <t>2 силовых механизма AVENTOS HK top 23</t>
  </si>
  <si>
    <t>2 силовых механизма AVENTOS HK top 25</t>
  </si>
  <si>
    <t>2 силовых механизма AVENTOS HK top 27</t>
  </si>
  <si>
    <t>2 силовых механизма AVENTOS HK top 29</t>
  </si>
  <si>
    <t xml:space="preserve">2 силовых механизма AVENTOS HK-S "C" </t>
  </si>
  <si>
    <t>Cиловой механизм AVENTOSs HK-S "C" (1 шт) и силовой механизм AVENTOS HK-S "E" (1 шт)</t>
  </si>
  <si>
    <t xml:space="preserve">2 силовых механизма AVENTOS HK-S "E" </t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</si>
  <si>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Calibri"/>
        <family val="2"/>
        <charset val="204"/>
        <scheme val="minor"/>
      </rPr>
      <t xml:space="preserve">Вал синхронизации TIP-ON  (T55.889W). Длина: 889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</si>
  <si>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(T55.1089ZR). Длина: 1089 мм, для ширины корпуса: 1400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</si>
  <si>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550F  (частичное выдвижение со встроенным TIP-ON)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(T57.1142S). Длина: 1142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- 37 мм)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</si>
</sst>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00"/>
    <numFmt numFmtId="166" formatCode="0.0"/>
  </numFmts>
  <fonts count="18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u/>
      <sz val="3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7"/>
      <name val="Arial"/>
      <family val="2"/>
      <charset val="204"/>
    </font>
    <font>
      <b/>
      <sz val="15"/>
      <color indexed="12"/>
      <name val="Arial"/>
      <family val="2"/>
      <charset val="204"/>
    </font>
    <font>
      <b/>
      <u/>
      <sz val="14"/>
      <name val="Arial"/>
      <family val="2"/>
      <charset val="204"/>
    </font>
    <font>
      <sz val="8"/>
      <name val="Arial"/>
      <family val="2"/>
      <charset val="204"/>
    </font>
    <font>
      <b/>
      <sz val="30"/>
      <name val="Arial"/>
      <family val="2"/>
      <charset val="204"/>
    </font>
    <font>
      <b/>
      <sz val="2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</font>
    <font>
      <sz val="11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8"/>
      <color indexed="9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9"/>
      <color indexed="8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1"/>
      <name val="Tahoma"/>
      <family val="2"/>
      <charset val="204"/>
    </font>
    <font>
      <b/>
      <sz val="36"/>
      <color indexed="9"/>
      <name val="Arial"/>
      <family val="2"/>
      <charset val="204"/>
    </font>
    <font>
      <b/>
      <sz val="12.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3.5"/>
      <name val="Arial"/>
      <family val="2"/>
      <charset val="204"/>
    </font>
    <font>
      <b/>
      <sz val="11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rgb="FF0000FF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i/>
      <sz val="18.5"/>
      <color rgb="FFFF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5"/>
      <color rgb="FF0000FF"/>
      <name val="Arial"/>
      <family val="2"/>
      <charset val="204"/>
    </font>
    <font>
      <b/>
      <sz val="18"/>
      <color rgb="FF1007C1"/>
      <name val="Arial"/>
      <family val="2"/>
      <charset val="204"/>
    </font>
    <font>
      <b/>
      <sz val="18"/>
      <color rgb="FF002060"/>
      <name val="Arial"/>
      <family val="2"/>
      <charset val="204"/>
    </font>
    <font>
      <b/>
      <sz val="22"/>
      <color theme="0"/>
      <name val="Arial"/>
      <family val="2"/>
      <charset val="204"/>
    </font>
    <font>
      <sz val="22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3.5"/>
      <color theme="0"/>
      <name val="Arial"/>
      <family val="2"/>
      <charset val="204"/>
    </font>
    <font>
      <b/>
      <sz val="12.5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i/>
      <sz val="15"/>
      <color indexed="12"/>
      <name val="Arial"/>
      <family val="2"/>
      <charset val="204"/>
    </font>
    <font>
      <b/>
      <i/>
      <sz val="14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5"/>
      <color indexed="8"/>
      <name val="Arial"/>
      <family val="2"/>
      <charset val="204"/>
    </font>
    <font>
      <b/>
      <u/>
      <sz val="3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20"/>
      <color theme="0"/>
      <name val="Arial"/>
      <family val="2"/>
    </font>
    <font>
      <sz val="20"/>
      <name val="Arial"/>
      <family val="2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theme="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2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7"/>
      <color theme="0"/>
      <name val="Calibri"/>
      <family val="2"/>
      <charset val="204"/>
      <scheme val="minor"/>
    </font>
    <font>
      <sz val="9"/>
      <color rgb="FFFF000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rgb="FFFF0000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9"/>
      <color rgb="FF00B050"/>
      <name val="Calibri"/>
      <family val="2"/>
      <scheme val="minor"/>
    </font>
    <font>
      <b/>
      <sz val="36"/>
      <name val="Arial"/>
      <family val="2"/>
      <charset val="204"/>
    </font>
    <font>
      <b/>
      <sz val="32"/>
      <color indexed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FF66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u/>
      <sz val="10"/>
      <color theme="10"/>
      <name val="Arial"/>
      <family val="2"/>
      <charset val="204"/>
    </font>
    <font>
      <b/>
      <sz val="22"/>
      <color indexed="9"/>
      <name val="Arial"/>
      <family val="2"/>
      <charset val="204"/>
    </font>
    <font>
      <b/>
      <u/>
      <sz val="22"/>
      <color indexed="9"/>
      <name val="Arial"/>
      <family val="2"/>
      <charset val="204"/>
    </font>
    <font>
      <sz val="2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0.5"/>
      <color theme="1"/>
      <name val="Calibri"/>
      <family val="2"/>
      <charset val="204"/>
      <scheme val="minor"/>
    </font>
    <font>
      <i/>
      <sz val="10"/>
      <color rgb="FFFF000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u/>
      <sz val="14"/>
      <name val="Arial"/>
      <family val="2"/>
      <charset val="204"/>
    </font>
    <font>
      <u/>
      <sz val="12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24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2"/>
      <color theme="0" tint="-0.499984740745262"/>
      <name val="Arial"/>
      <family val="2"/>
      <charset val="204"/>
    </font>
    <font>
      <sz val="12"/>
      <color theme="0" tint="-0.499984740745262"/>
      <name val="Arial"/>
      <family val="2"/>
      <charset val="204"/>
    </font>
    <font>
      <u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Arial Rounded MT Bold"/>
      <family val="2"/>
    </font>
    <font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b/>
      <sz val="14"/>
      <color rgb="FF0000FF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0"/>
      <name val="Arial"/>
      <family val="2"/>
      <charset val="204"/>
    </font>
    <font>
      <b/>
      <i/>
      <sz val="15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8"/>
      <name val="Times New Roman"/>
      <family val="1"/>
      <charset val="204"/>
    </font>
    <font>
      <b/>
      <u/>
      <sz val="12"/>
      <name val="Arial"/>
      <family val="2"/>
      <charset val="204"/>
    </font>
    <font>
      <sz val="22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i/>
      <sz val="16"/>
      <color rgb="FFFF0000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1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1"/>
      <color theme="0"/>
      <name val="Arial"/>
      <family val="2"/>
      <charset val="204"/>
    </font>
    <font>
      <i/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6"/>
      <color rgb="FFFF860D"/>
      <name val="Arial"/>
      <family val="2"/>
      <charset val="204"/>
    </font>
    <font>
      <sz val="10"/>
      <color rgb="FFFF860D"/>
      <name val="Arial"/>
      <family val="2"/>
      <charset val="204"/>
    </font>
    <font>
      <b/>
      <sz val="12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4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6E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E1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98703"/>
        <bgColor indexed="64"/>
      </patternFill>
    </fill>
    <fill>
      <patternFill patternType="solid">
        <fgColor rgb="FFFF671F"/>
        <bgColor indexed="64"/>
      </patternFill>
    </fill>
    <fill>
      <gradientFill degree="90">
        <stop position="0">
          <color theme="0"/>
        </stop>
        <stop position="0.5">
          <color rgb="FF66CCFF"/>
        </stop>
        <stop position="1">
          <color theme="0"/>
        </stop>
      </gradientFill>
    </fill>
    <fill>
      <gradientFill degree="90">
        <stop position="0">
          <color rgb="FFFF860D"/>
        </stop>
        <stop position="0.5">
          <color theme="0"/>
        </stop>
        <stop position="1">
          <color rgb="FFFF860D"/>
        </stop>
      </gradientFill>
    </fill>
    <fill>
      <gradientFill degree="90">
        <stop position="0">
          <color rgb="FFFF6600"/>
        </stop>
        <stop position="0.5">
          <color theme="0"/>
        </stop>
        <stop position="1">
          <color rgb="FFFF6600"/>
        </stop>
      </gradientFill>
    </fill>
    <fill>
      <patternFill patternType="solid">
        <fgColor rgb="FFEF720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AE5D"/>
        <bgColor indexed="64"/>
      </patternFill>
    </fill>
    <fill>
      <patternFill patternType="solid">
        <fgColor theme="0"/>
        <bgColor auto="1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 diagonalUp="1">
      <left/>
      <right style="thin">
        <color rgb="FF0000FF"/>
      </right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medium">
        <color rgb="FFEF720B"/>
      </left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 style="medium">
        <color rgb="FFEF720B"/>
      </right>
      <top/>
      <bottom/>
      <diagonal/>
    </border>
    <border>
      <left style="medium">
        <color rgb="FFEF720B"/>
      </left>
      <right style="medium">
        <color rgb="FFEF720B"/>
      </right>
      <top/>
      <bottom style="medium">
        <color rgb="FFEF720B"/>
      </bottom>
      <diagonal/>
    </border>
    <border>
      <left style="medium">
        <color rgb="FFEF720B"/>
      </left>
      <right/>
      <top style="medium">
        <color rgb="FFEF720B"/>
      </top>
      <bottom/>
      <diagonal/>
    </border>
    <border>
      <left/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/>
      <top/>
      <bottom/>
      <diagonal/>
    </border>
    <border>
      <left/>
      <right style="medium">
        <color rgb="FFEF720B"/>
      </right>
      <top/>
      <bottom/>
      <diagonal/>
    </border>
    <border>
      <left style="medium">
        <color rgb="FFEF720B"/>
      </left>
      <right/>
      <top/>
      <bottom style="medium">
        <color rgb="FFEF720B"/>
      </bottom>
      <diagonal/>
    </border>
    <border>
      <left/>
      <right style="medium">
        <color rgb="FFEF720B"/>
      </right>
      <top/>
      <bottom style="medium">
        <color rgb="FFEF720B"/>
      </bottom>
      <diagonal/>
    </border>
    <border>
      <left/>
      <right/>
      <top style="medium">
        <color rgb="FFEF720B"/>
      </top>
      <bottom/>
      <diagonal/>
    </border>
    <border>
      <left/>
      <right/>
      <top/>
      <bottom style="medium">
        <color rgb="FFEF720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164" fontId="77" fillId="0" borderId="0" applyFont="0" applyFill="0" applyBorder="0" applyAlignment="0" applyProtection="0"/>
    <xf numFmtId="0" fontId="81" fillId="0" borderId="0"/>
    <xf numFmtId="0" fontId="119" fillId="0" borderId="0" applyNumberFormat="0" applyFill="0" applyBorder="0" applyAlignment="0" applyProtection="0"/>
  </cellStyleXfs>
  <cellXfs count="1443">
    <xf numFmtId="0" fontId="0" fillId="0" borderId="0" xfId="0"/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wrapText="1"/>
    </xf>
    <xf numFmtId="0" fontId="0" fillId="0" borderId="0" xfId="0" applyProtection="1"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5" fontId="15" fillId="7" borderId="0" xfId="0" applyNumberFormat="1" applyFont="1" applyFill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165" fontId="15" fillId="7" borderId="28" xfId="0" applyNumberFormat="1" applyFont="1" applyFill="1" applyBorder="1" applyAlignment="1">
      <alignment vertical="center"/>
    </xf>
    <xf numFmtId="165" fontId="15" fillId="7" borderId="29" xfId="0" applyNumberFormat="1" applyFont="1" applyFill="1" applyBorder="1" applyAlignment="1">
      <alignment vertical="center"/>
    </xf>
    <xf numFmtId="0" fontId="7" fillId="0" borderId="0" xfId="0" applyFont="1"/>
    <xf numFmtId="1" fontId="7" fillId="0" borderId="0" xfId="0" applyNumberFormat="1" applyFont="1"/>
    <xf numFmtId="2" fontId="7" fillId="0" borderId="0" xfId="0" applyNumberFormat="1" applyFont="1" applyAlignment="1">
      <alignment wrapText="1"/>
    </xf>
    <xf numFmtId="165" fontId="7" fillId="0" borderId="0" xfId="0" applyNumberFormat="1" applyFont="1"/>
    <xf numFmtId="0" fontId="4" fillId="0" borderId="3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33" xfId="0" applyFont="1" applyBorder="1" applyAlignment="1">
      <alignment horizontal="center" wrapText="1"/>
    </xf>
    <xf numFmtId="0" fontId="4" fillId="6" borderId="33" xfId="0" applyFont="1" applyFill="1" applyBorder="1" applyAlignment="1">
      <alignment horizontal="center" wrapText="1"/>
    </xf>
    <xf numFmtId="0" fontId="6" fillId="13" borderId="30" xfId="0" applyFont="1" applyFill="1" applyBorder="1" applyAlignment="1">
      <alignment horizontal="center" vertical="center"/>
    </xf>
    <xf numFmtId="0" fontId="7" fillId="11" borderId="39" xfId="0" applyFont="1" applyFill="1" applyBorder="1" applyAlignment="1">
      <alignment horizontal="center"/>
    </xf>
    <xf numFmtId="0" fontId="7" fillId="10" borderId="39" xfId="0" applyFont="1" applyFill="1" applyBorder="1" applyAlignment="1">
      <alignment horizontal="center"/>
    </xf>
    <xf numFmtId="0" fontId="7" fillId="10" borderId="40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6" fillId="14" borderId="30" xfId="0" applyFont="1" applyFill="1" applyBorder="1" applyAlignment="1">
      <alignment horizontal="center" vertical="center"/>
    </xf>
    <xf numFmtId="0" fontId="7" fillId="0" borderId="41" xfId="0" applyFont="1" applyBorder="1"/>
    <xf numFmtId="0" fontId="7" fillId="0" borderId="33" xfId="0" applyFont="1" applyBorder="1"/>
    <xf numFmtId="0" fontId="0" fillId="0" borderId="1" xfId="0" applyBorder="1"/>
    <xf numFmtId="0" fontId="6" fillId="14" borderId="37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2" borderId="43" xfId="0" applyFont="1" applyFill="1" applyBorder="1" applyAlignment="1">
      <alignment horizontal="center"/>
    </xf>
    <xf numFmtId="0" fontId="7" fillId="12" borderId="44" xfId="0" applyFont="1" applyFill="1" applyBorder="1" applyAlignment="1">
      <alignment horizontal="center"/>
    </xf>
    <xf numFmtId="0" fontId="7" fillId="0" borderId="37" xfId="0" applyFont="1" applyBorder="1"/>
    <xf numFmtId="0" fontId="0" fillId="0" borderId="29" xfId="0" applyBorder="1"/>
    <xf numFmtId="0" fontId="7" fillId="13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7" fillId="0" borderId="37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0" xfId="0" applyFont="1" applyBorder="1"/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6" fillId="15" borderId="0" xfId="0" applyFont="1" applyFill="1" applyAlignment="1">
      <alignment horizontal="center"/>
    </xf>
    <xf numFmtId="0" fontId="0" fillId="0" borderId="0" xfId="0" applyProtection="1">
      <protection hidden="1"/>
    </xf>
    <xf numFmtId="1" fontId="23" fillId="11" borderId="3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9" xfId="0" applyBorder="1" applyProtection="1">
      <protection hidden="1"/>
    </xf>
    <xf numFmtId="2" fontId="6" fillId="11" borderId="44" xfId="0" applyNumberFormat="1" applyFont="1" applyFill="1" applyBorder="1" applyAlignment="1" applyProtection="1">
      <alignment horizontal="center" vertical="center" wrapText="1"/>
      <protection hidden="1"/>
    </xf>
    <xf numFmtId="0" fontId="6" fillId="10" borderId="2" xfId="0" applyFont="1" applyFill="1" applyBorder="1" applyAlignment="1" applyProtection="1">
      <alignment horizontal="center" vertical="center" wrapText="1"/>
      <protection hidden="1"/>
    </xf>
    <xf numFmtId="2" fontId="6" fillId="10" borderId="44" xfId="0" applyNumberFormat="1" applyFont="1" applyFill="1" applyBorder="1" applyAlignment="1" applyProtection="1">
      <alignment horizontal="center" vertical="center" wrapText="1"/>
      <protection hidden="1"/>
    </xf>
    <xf numFmtId="1" fontId="23" fillId="10" borderId="30" xfId="0" applyNumberFormat="1" applyFont="1" applyFill="1" applyBorder="1" applyAlignment="1" applyProtection="1">
      <alignment horizontal="center" vertical="center"/>
      <protection hidden="1"/>
    </xf>
    <xf numFmtId="0" fontId="0" fillId="10" borderId="0" xfId="0" applyFill="1" applyProtection="1">
      <protection hidden="1"/>
    </xf>
    <xf numFmtId="0" fontId="45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22" fillId="7" borderId="30" xfId="0" applyNumberFormat="1" applyFont="1" applyFill="1" applyBorder="1" applyAlignment="1" applyProtection="1">
      <alignment horizontal="center" vertical="center" wrapText="1"/>
      <protection hidden="1"/>
    </xf>
    <xf numFmtId="2" fontId="22" fillId="6" borderId="30" xfId="0" applyNumberFormat="1" applyFont="1" applyFill="1" applyBorder="1" applyAlignment="1" applyProtection="1">
      <alignment horizontal="center" vertical="center" wrapText="1"/>
      <protection hidden="1"/>
    </xf>
    <xf numFmtId="2" fontId="44" fillId="7" borderId="3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>
      <alignment horizontal="left" vertical="center" wrapText="1"/>
    </xf>
    <xf numFmtId="0" fontId="6" fillId="18" borderId="2" xfId="0" applyFont="1" applyFill="1" applyBorder="1" applyAlignment="1">
      <alignment horizontal="center" vertical="center"/>
    </xf>
    <xf numFmtId="1" fontId="6" fillId="18" borderId="33" xfId="0" applyNumberFormat="1" applyFont="1" applyFill="1" applyBorder="1" applyAlignment="1">
      <alignment horizontal="center" vertical="center"/>
    </xf>
    <xf numFmtId="1" fontId="6" fillId="18" borderId="2" xfId="0" applyNumberFormat="1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1" fontId="6" fillId="18" borderId="3" xfId="0" applyNumberFormat="1" applyFont="1" applyFill="1" applyBorder="1" applyAlignment="1">
      <alignment horizontal="center" vertical="center"/>
    </xf>
    <xf numFmtId="0" fontId="6" fillId="18" borderId="52" xfId="0" applyFont="1" applyFill="1" applyBorder="1" applyAlignment="1">
      <alignment horizontal="center" vertical="center"/>
    </xf>
    <xf numFmtId="1" fontId="6" fillId="18" borderId="52" xfId="0" applyNumberFormat="1" applyFont="1" applyFill="1" applyBorder="1" applyAlignment="1">
      <alignment horizontal="center" vertical="center"/>
    </xf>
    <xf numFmtId="0" fontId="6" fillId="18" borderId="33" xfId="0" applyFont="1" applyFill="1" applyBorder="1" applyAlignment="1">
      <alignment horizontal="center" vertical="center"/>
    </xf>
    <xf numFmtId="1" fontId="55" fillId="22" borderId="48" xfId="0" applyNumberFormat="1" applyFont="1" applyFill="1" applyBorder="1" applyAlignment="1">
      <alignment horizontal="center" vertical="center"/>
    </xf>
    <xf numFmtId="0" fontId="55" fillId="22" borderId="49" xfId="0" applyFont="1" applyFill="1" applyBorder="1" applyAlignment="1">
      <alignment horizontal="center" vertical="center" wrapText="1"/>
    </xf>
    <xf numFmtId="0" fontId="58" fillId="22" borderId="28" xfId="0" applyFont="1" applyFill="1" applyBorder="1"/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11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locked="0"/>
    </xf>
    <xf numFmtId="0" fontId="7" fillId="15" borderId="8" xfId="0" applyFont="1" applyFill="1" applyBorder="1" applyAlignment="1">
      <alignment horizontal="center" vertical="center"/>
    </xf>
    <xf numFmtId="0" fontId="7" fillId="15" borderId="14" xfId="0" applyFont="1" applyFill="1" applyBorder="1" applyAlignment="1">
      <alignment horizontal="center" vertical="center"/>
    </xf>
    <xf numFmtId="0" fontId="18" fillId="0" borderId="46" xfId="0" applyFont="1" applyBorder="1" applyAlignment="1" applyProtection="1">
      <alignment horizontal="center"/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0" fillId="0" borderId="41" xfId="0" applyBorder="1" applyProtection="1">
      <protection locked="0"/>
    </xf>
    <xf numFmtId="0" fontId="0" fillId="3" borderId="29" xfId="0" applyFill="1" applyBorder="1"/>
    <xf numFmtId="0" fontId="0" fillId="0" borderId="29" xfId="0" applyBorder="1" applyProtection="1">
      <protection locked="0"/>
    </xf>
    <xf numFmtId="0" fontId="0" fillId="15" borderId="0" xfId="0" applyFill="1" applyAlignment="1">
      <alignment horizontal="center" vertical="center"/>
    </xf>
    <xf numFmtId="0" fontId="0" fillId="0" borderId="12" xfId="0" applyBorder="1"/>
    <xf numFmtId="0" fontId="7" fillId="0" borderId="14" xfId="0" applyFont="1" applyBorder="1" applyAlignment="1">
      <alignment horizontal="center" vertical="center"/>
    </xf>
    <xf numFmtId="0" fontId="0" fillId="0" borderId="64" xfId="0" applyBorder="1"/>
    <xf numFmtId="0" fontId="7" fillId="0" borderId="4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47" xfId="0" applyBorder="1"/>
    <xf numFmtId="0" fontId="0" fillId="0" borderId="26" xfId="0" applyBorder="1"/>
    <xf numFmtId="0" fontId="7" fillId="0" borderId="46" xfId="0" applyFont="1" applyBorder="1"/>
    <xf numFmtId="0" fontId="0" fillId="2" borderId="0" xfId="0" applyFill="1"/>
    <xf numFmtId="0" fontId="6" fillId="15" borderId="64" xfId="0" applyFont="1" applyFill="1" applyBorder="1" applyAlignment="1">
      <alignment horizontal="center"/>
    </xf>
    <xf numFmtId="0" fontId="8" fillId="15" borderId="64" xfId="0" applyFont="1" applyFill="1" applyBorder="1" applyAlignment="1">
      <alignment horizontal="center" vertical="center" wrapText="1"/>
    </xf>
    <xf numFmtId="0" fontId="0" fillId="15" borderId="0" xfId="0" applyFill="1" applyAlignment="1" applyProtection="1">
      <alignment horizontal="center"/>
      <protection locked="0"/>
    </xf>
    <xf numFmtId="0" fontId="47" fillId="15" borderId="0" xfId="0" applyFont="1" applyFill="1" applyAlignment="1" applyProtection="1">
      <alignment horizontal="center"/>
      <protection hidden="1"/>
    </xf>
    <xf numFmtId="1" fontId="48" fillId="15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33" xfId="0" applyFont="1" applyBorder="1" applyAlignment="1" applyProtection="1">
      <alignment horizontal="center" vertical="center"/>
      <protection hidden="1"/>
    </xf>
    <xf numFmtId="0" fontId="56" fillId="20" borderId="31" xfId="0" applyFont="1" applyFill="1" applyBorder="1" applyAlignment="1" applyProtection="1">
      <alignment horizontal="center" vertical="center"/>
      <protection hidden="1"/>
    </xf>
    <xf numFmtId="0" fontId="56" fillId="20" borderId="30" xfId="0" applyFont="1" applyFill="1" applyBorder="1" applyAlignment="1" applyProtection="1">
      <alignment horizontal="center" vertical="center"/>
      <protection hidden="1"/>
    </xf>
    <xf numFmtId="166" fontId="56" fillId="22" borderId="32" xfId="0" applyNumberFormat="1" applyFont="1" applyFill="1" applyBorder="1" applyAlignment="1" applyProtection="1">
      <alignment horizontal="center" vertical="center"/>
      <protection hidden="1"/>
    </xf>
    <xf numFmtId="166" fontId="37" fillId="6" borderId="31" xfId="0" applyNumberFormat="1" applyFont="1" applyFill="1" applyBorder="1" applyAlignment="1" applyProtection="1">
      <alignment horizontal="center" vertical="center"/>
      <protection hidden="1"/>
    </xf>
    <xf numFmtId="1" fontId="51" fillId="6" borderId="48" xfId="0" applyNumberFormat="1" applyFont="1" applyFill="1" applyBorder="1" applyAlignment="1" applyProtection="1">
      <alignment horizontal="center" vertical="center"/>
      <protection hidden="1"/>
    </xf>
    <xf numFmtId="166" fontId="37" fillId="11" borderId="31" xfId="0" applyNumberFormat="1" applyFont="1" applyFill="1" applyBorder="1" applyAlignment="1" applyProtection="1">
      <alignment horizontal="center" vertical="center"/>
      <protection hidden="1"/>
    </xf>
    <xf numFmtId="1" fontId="51" fillId="11" borderId="48" xfId="0" applyNumberFormat="1" applyFont="1" applyFill="1" applyBorder="1" applyAlignment="1" applyProtection="1">
      <alignment horizontal="center" vertical="center"/>
      <protection hidden="1"/>
    </xf>
    <xf numFmtId="1" fontId="51" fillId="10" borderId="48" xfId="0" applyNumberFormat="1" applyFont="1" applyFill="1" applyBorder="1" applyAlignment="1" applyProtection="1">
      <alignment horizontal="center" vertical="center"/>
      <protection hidden="1"/>
    </xf>
    <xf numFmtId="1" fontId="51" fillId="11" borderId="30" xfId="0" applyNumberFormat="1" applyFont="1" applyFill="1" applyBorder="1" applyAlignment="1" applyProtection="1">
      <alignment horizontal="center" vertical="center"/>
      <protection hidden="1"/>
    </xf>
    <xf numFmtId="166" fontId="37" fillId="10" borderId="31" xfId="0" applyNumberFormat="1" applyFont="1" applyFill="1" applyBorder="1" applyAlignment="1" applyProtection="1">
      <alignment horizontal="center" vertical="center"/>
      <protection hidden="1"/>
    </xf>
    <xf numFmtId="1" fontId="51" fillId="10" borderId="30" xfId="0" applyNumberFormat="1" applyFont="1" applyFill="1" applyBorder="1" applyAlignment="1" applyProtection="1">
      <alignment horizontal="center" vertical="center"/>
      <protection hidden="1"/>
    </xf>
    <xf numFmtId="0" fontId="19" fillId="18" borderId="39" xfId="0" applyFont="1" applyFill="1" applyBorder="1" applyAlignment="1" applyProtection="1">
      <alignment horizontal="center" vertical="center"/>
      <protection hidden="1"/>
    </xf>
    <xf numFmtId="0" fontId="19" fillId="18" borderId="4" xfId="0" applyFont="1" applyFill="1" applyBorder="1" applyAlignment="1" applyProtection="1">
      <alignment horizontal="center" vertical="center"/>
      <protection hidden="1"/>
    </xf>
    <xf numFmtId="0" fontId="10" fillId="18" borderId="2" xfId="0" applyFont="1" applyFill="1" applyBorder="1" applyAlignment="1" applyProtection="1">
      <alignment horizontal="center" vertical="center" wrapText="1"/>
      <protection hidden="1"/>
    </xf>
    <xf numFmtId="0" fontId="19" fillId="18" borderId="40" xfId="0" applyFont="1" applyFill="1" applyBorder="1" applyAlignment="1" applyProtection="1">
      <alignment horizontal="center" vertical="center"/>
      <protection hidden="1"/>
    </xf>
    <xf numFmtId="0" fontId="19" fillId="18" borderId="5" xfId="0" applyFont="1" applyFill="1" applyBorder="1" applyAlignment="1" applyProtection="1">
      <alignment horizontal="center" vertical="center"/>
      <protection hidden="1"/>
    </xf>
    <xf numFmtId="0" fontId="10" fillId="18" borderId="3" xfId="0" applyFont="1" applyFill="1" applyBorder="1" applyAlignment="1" applyProtection="1">
      <alignment horizontal="center" vertical="center" wrapText="1"/>
      <protection hidden="1"/>
    </xf>
    <xf numFmtId="0" fontId="56" fillId="22" borderId="30" xfId="0" applyFont="1" applyFill="1" applyBorder="1" applyAlignment="1" applyProtection="1">
      <alignment vertical="center"/>
      <protection hidden="1"/>
    </xf>
    <xf numFmtId="0" fontId="56" fillId="22" borderId="31" xfId="0" applyFont="1" applyFill="1" applyBorder="1" applyAlignment="1" applyProtection="1">
      <alignment horizontal="center" vertical="center"/>
      <protection hidden="1"/>
    </xf>
    <xf numFmtId="0" fontId="0" fillId="0" borderId="64" xfId="0" applyBorder="1" applyProtection="1">
      <protection hidden="1"/>
    </xf>
    <xf numFmtId="0" fontId="55" fillId="22" borderId="30" xfId="0" applyFont="1" applyFill="1" applyBorder="1" applyAlignment="1" applyProtection="1">
      <alignment horizontal="center" vertical="center"/>
      <protection hidden="1"/>
    </xf>
    <xf numFmtId="0" fontId="6" fillId="15" borderId="4" xfId="0" applyFont="1" applyFill="1" applyBorder="1" applyAlignment="1" applyProtection="1">
      <alignment horizontal="center" vertical="center" wrapText="1"/>
      <protection hidden="1"/>
    </xf>
    <xf numFmtId="0" fontId="10" fillId="18" borderId="36" xfId="0" applyFont="1" applyFill="1" applyBorder="1" applyAlignment="1" applyProtection="1">
      <alignment horizontal="center" vertical="center"/>
      <protection hidden="1"/>
    </xf>
    <xf numFmtId="0" fontId="10" fillId="18" borderId="1" xfId="0" applyFont="1" applyFill="1" applyBorder="1" applyAlignment="1" applyProtection="1">
      <alignment horizontal="center" vertical="center"/>
      <protection hidden="1"/>
    </xf>
    <xf numFmtId="0" fontId="10" fillId="18" borderId="39" xfId="0" applyFont="1" applyFill="1" applyBorder="1" applyAlignment="1" applyProtection="1">
      <alignment horizontal="center" vertical="center"/>
      <protection hidden="1"/>
    </xf>
    <xf numFmtId="0" fontId="10" fillId="18" borderId="2" xfId="0" applyFont="1" applyFill="1" applyBorder="1" applyAlignment="1" applyProtection="1">
      <alignment horizontal="center" vertical="center"/>
      <protection hidden="1"/>
    </xf>
    <xf numFmtId="0" fontId="10" fillId="18" borderId="40" xfId="0" applyFont="1" applyFill="1" applyBorder="1" applyAlignment="1" applyProtection="1">
      <alignment horizontal="center" vertical="center"/>
      <protection hidden="1"/>
    </xf>
    <xf numFmtId="0" fontId="10" fillId="18" borderId="3" xfId="0" applyFont="1" applyFill="1" applyBorder="1" applyAlignment="1" applyProtection="1">
      <alignment horizontal="center" vertical="center"/>
      <protection hidden="1"/>
    </xf>
    <xf numFmtId="0" fontId="56" fillId="22" borderId="30" xfId="0" applyFont="1" applyFill="1" applyBorder="1" applyAlignment="1" applyProtection="1">
      <alignment horizontal="center" vertical="center" wrapText="1"/>
      <protection hidden="1"/>
    </xf>
    <xf numFmtId="0" fontId="19" fillId="6" borderId="37" xfId="0" applyFont="1" applyFill="1" applyBorder="1" applyAlignment="1" applyProtection="1">
      <alignment horizontal="left" vertical="center"/>
      <protection hidden="1"/>
    </xf>
    <xf numFmtId="166" fontId="30" fillId="10" borderId="41" xfId="0" applyNumberFormat="1" applyFont="1" applyFill="1" applyBorder="1" applyAlignment="1" applyProtection="1">
      <alignment horizontal="center" vertical="center" wrapText="1"/>
      <protection hidden="1"/>
    </xf>
    <xf numFmtId="1" fontId="50" fillId="10" borderId="46" xfId="0" applyNumberFormat="1" applyFont="1" applyFill="1" applyBorder="1" applyAlignment="1" applyProtection="1">
      <alignment horizontal="center" vertical="center"/>
      <protection hidden="1"/>
    </xf>
    <xf numFmtId="0" fontId="6" fillId="10" borderId="33" xfId="0" applyFont="1" applyFill="1" applyBorder="1" applyAlignment="1" applyProtection="1">
      <alignment horizontal="center" vertical="center" wrapText="1"/>
      <protection hidden="1"/>
    </xf>
    <xf numFmtId="0" fontId="8" fillId="7" borderId="31" xfId="0" applyFont="1" applyFill="1" applyBorder="1" applyAlignment="1" applyProtection="1">
      <alignment horizontal="left" vertical="center"/>
      <protection hidden="1"/>
    </xf>
    <xf numFmtId="166" fontId="30" fillId="11" borderId="31" xfId="0" applyNumberFormat="1" applyFont="1" applyFill="1" applyBorder="1" applyAlignment="1" applyProtection="1">
      <alignment horizontal="center" vertical="center" wrapText="1"/>
      <protection hidden="1"/>
    </xf>
    <xf numFmtId="1" fontId="50" fillId="11" borderId="45" xfId="0" applyNumberFormat="1" applyFont="1" applyFill="1" applyBorder="1" applyAlignment="1" applyProtection="1">
      <alignment horizontal="center" vertical="center"/>
      <protection hidden="1"/>
    </xf>
    <xf numFmtId="166" fontId="30" fillId="10" borderId="31" xfId="0" applyNumberFormat="1" applyFont="1" applyFill="1" applyBorder="1" applyAlignment="1" applyProtection="1">
      <alignment horizontal="center" vertical="center" wrapText="1"/>
      <protection hidden="1"/>
    </xf>
    <xf numFmtId="1" fontId="50" fillId="10" borderId="45" xfId="0" applyNumberFormat="1" applyFont="1" applyFill="1" applyBorder="1" applyAlignment="1" applyProtection="1">
      <alignment horizontal="center" vertical="center"/>
      <protection hidden="1"/>
    </xf>
    <xf numFmtId="1" fontId="50" fillId="10" borderId="31" xfId="0" applyNumberFormat="1" applyFont="1" applyFill="1" applyBorder="1" applyAlignment="1" applyProtection="1">
      <alignment horizontal="center" vertical="center"/>
      <protection hidden="1"/>
    </xf>
    <xf numFmtId="0" fontId="6" fillId="10" borderId="37" xfId="0" applyFont="1" applyFill="1" applyBorder="1" applyAlignment="1" applyProtection="1">
      <alignment horizontal="center" vertical="center" wrapText="1"/>
      <protection hidden="1"/>
    </xf>
    <xf numFmtId="0" fontId="61" fillId="23" borderId="30" xfId="0" applyFont="1" applyFill="1" applyBorder="1" applyAlignment="1" applyProtection="1">
      <alignment horizontal="center" vertical="center"/>
      <protection hidden="1"/>
    </xf>
    <xf numFmtId="0" fontId="25" fillId="0" borderId="30" xfId="0" applyFont="1" applyBorder="1" applyAlignment="1" applyProtection="1">
      <alignment horizontal="center" vertical="center"/>
      <protection hidden="1"/>
    </xf>
    <xf numFmtId="0" fontId="18" fillId="24" borderId="30" xfId="0" applyFont="1" applyFill="1" applyBorder="1" applyAlignment="1" applyProtection="1">
      <alignment horizontal="center" vertical="center"/>
      <protection hidden="1"/>
    </xf>
    <xf numFmtId="0" fontId="18" fillId="0" borderId="30" xfId="0" applyFont="1" applyBorder="1" applyAlignment="1" applyProtection="1">
      <alignment horizontal="center" vertical="center"/>
      <protection hidden="1"/>
    </xf>
    <xf numFmtId="0" fontId="50" fillId="16" borderId="30" xfId="0" applyFont="1" applyFill="1" applyBorder="1" applyAlignment="1" applyProtection="1">
      <alignment horizontal="center" vertical="center"/>
      <protection hidden="1"/>
    </xf>
    <xf numFmtId="1" fontId="62" fillId="16" borderId="30" xfId="0" applyNumberFormat="1" applyFont="1" applyFill="1" applyBorder="1" applyAlignment="1" applyProtection="1">
      <alignment horizontal="center" vertical="center"/>
      <protection hidden="1"/>
    </xf>
    <xf numFmtId="0" fontId="11" fillId="7" borderId="30" xfId="0" applyFont="1" applyFill="1" applyBorder="1" applyAlignment="1" applyProtection="1">
      <alignment horizontal="left" vertical="center"/>
      <protection hidden="1"/>
    </xf>
    <xf numFmtId="0" fontId="50" fillId="19" borderId="30" xfId="0" applyFont="1" applyFill="1" applyBorder="1" applyAlignment="1" applyProtection="1">
      <alignment horizontal="center" vertical="center"/>
      <protection hidden="1"/>
    </xf>
    <xf numFmtId="1" fontId="62" fillId="19" borderId="30" xfId="0" applyNumberFormat="1" applyFont="1" applyFill="1" applyBorder="1" applyAlignment="1" applyProtection="1">
      <alignment horizontal="center" vertical="center"/>
      <protection hidden="1"/>
    </xf>
    <xf numFmtId="0" fontId="50" fillId="16" borderId="37" xfId="0" applyFont="1" applyFill="1" applyBorder="1" applyAlignment="1" applyProtection="1">
      <alignment horizontal="center" vertical="center"/>
      <protection hidden="1"/>
    </xf>
    <xf numFmtId="1" fontId="62" fillId="16" borderId="37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3" borderId="14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17" xfId="0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3" borderId="18" xfId="0" applyFill="1" applyBorder="1" applyProtection="1">
      <protection hidden="1"/>
    </xf>
    <xf numFmtId="0" fontId="0" fillId="0" borderId="46" xfId="0" applyBorder="1" applyProtection="1">
      <protection locked="0" hidden="1"/>
    </xf>
    <xf numFmtId="0" fontId="0" fillId="0" borderId="0" xfId="0" applyProtection="1">
      <protection locked="0" hidden="1"/>
    </xf>
    <xf numFmtId="0" fontId="0" fillId="6" borderId="7" xfId="0" applyFill="1" applyBorder="1" applyProtection="1">
      <protection locked="0" hidden="1"/>
    </xf>
    <xf numFmtId="0" fontId="0" fillId="6" borderId="19" xfId="0" applyFill="1" applyBorder="1" applyProtection="1">
      <protection locked="0" hidden="1"/>
    </xf>
    <xf numFmtId="0" fontId="0" fillId="6" borderId="13" xfId="0" applyFill="1" applyBorder="1" applyProtection="1">
      <protection locked="0" hidden="1"/>
    </xf>
    <xf numFmtId="0" fontId="7" fillId="10" borderId="38" xfId="0" applyFont="1" applyFill="1" applyBorder="1" applyAlignment="1" applyProtection="1">
      <alignment horizontal="center" vertical="center"/>
      <protection hidden="1"/>
    </xf>
    <xf numFmtId="0" fontId="7" fillId="10" borderId="1" xfId="0" applyFont="1" applyFill="1" applyBorder="1" applyAlignment="1" applyProtection="1">
      <alignment horizontal="center" vertical="center"/>
      <protection hidden="1"/>
    </xf>
    <xf numFmtId="0" fontId="7" fillId="10" borderId="6" xfId="0" applyFont="1" applyFill="1" applyBorder="1" applyAlignment="1" applyProtection="1">
      <alignment horizontal="center" vertical="center"/>
      <protection hidden="1"/>
    </xf>
    <xf numFmtId="0" fontId="7" fillId="10" borderId="33" xfId="0" applyFont="1" applyFill="1" applyBorder="1" applyAlignment="1" applyProtection="1">
      <alignment horizontal="center" vertical="center"/>
      <protection hidden="1"/>
    </xf>
    <xf numFmtId="0" fontId="7" fillId="12" borderId="1" xfId="0" applyFont="1" applyFill="1" applyBorder="1" applyAlignment="1" applyProtection="1">
      <alignment horizontal="center"/>
      <protection hidden="1"/>
    </xf>
    <xf numFmtId="0" fontId="7" fillId="11" borderId="39" xfId="0" applyFont="1" applyFill="1" applyBorder="1" applyAlignment="1" applyProtection="1">
      <alignment horizontal="center" vertical="center"/>
      <protection hidden="1"/>
    </xf>
    <xf numFmtId="0" fontId="7" fillId="11" borderId="2" xfId="0" applyFont="1" applyFill="1" applyBorder="1" applyAlignment="1" applyProtection="1">
      <alignment horizontal="center" vertical="center"/>
      <protection hidden="1"/>
    </xf>
    <xf numFmtId="0" fontId="7" fillId="11" borderId="4" xfId="0" applyFont="1" applyFill="1" applyBorder="1" applyAlignment="1" applyProtection="1">
      <alignment horizontal="center" vertical="center"/>
      <protection hidden="1"/>
    </xf>
    <xf numFmtId="0" fontId="7" fillId="12" borderId="2" xfId="0" applyFont="1" applyFill="1" applyBorder="1" applyAlignment="1" applyProtection="1">
      <alignment horizontal="center"/>
      <protection hidden="1"/>
    </xf>
    <xf numFmtId="0" fontId="7" fillId="10" borderId="39" xfId="0" applyFont="1" applyFill="1" applyBorder="1" applyAlignment="1" applyProtection="1">
      <alignment horizontal="center" vertical="center"/>
      <protection hidden="1"/>
    </xf>
    <xf numFmtId="0" fontId="7" fillId="10" borderId="2" xfId="0" applyFont="1" applyFill="1" applyBorder="1" applyAlignment="1" applyProtection="1">
      <alignment horizontal="center" vertical="center"/>
      <protection hidden="1"/>
    </xf>
    <xf numFmtId="0" fontId="7" fillId="10" borderId="4" xfId="0" applyFont="1" applyFill="1" applyBorder="1" applyAlignment="1" applyProtection="1">
      <alignment horizontal="center" vertical="center"/>
      <protection hidden="1"/>
    </xf>
    <xf numFmtId="0" fontId="7" fillId="11" borderId="2" xfId="0" applyFont="1" applyFill="1" applyBorder="1" applyAlignment="1" applyProtection="1">
      <alignment horizontal="center"/>
      <protection hidden="1"/>
    </xf>
    <xf numFmtId="0" fontId="7" fillId="10" borderId="2" xfId="0" applyFont="1" applyFill="1" applyBorder="1" applyAlignment="1" applyProtection="1">
      <alignment horizontal="center"/>
      <protection hidden="1"/>
    </xf>
    <xf numFmtId="0" fontId="7" fillId="10" borderId="5" xfId="0" applyFont="1" applyFill="1" applyBorder="1" applyAlignment="1" applyProtection="1">
      <alignment horizontal="center" vertical="center"/>
      <protection hidden="1"/>
    </xf>
    <xf numFmtId="0" fontId="7" fillId="10" borderId="3" xfId="0" applyFont="1" applyFill="1" applyBorder="1" applyAlignment="1" applyProtection="1">
      <alignment horizontal="center" vertical="center"/>
      <protection hidden="1"/>
    </xf>
    <xf numFmtId="0" fontId="7" fillId="10" borderId="40" xfId="0" applyFont="1" applyFill="1" applyBorder="1" applyAlignment="1" applyProtection="1">
      <alignment horizontal="center" vertical="center"/>
      <protection hidden="1"/>
    </xf>
    <xf numFmtId="0" fontId="7" fillId="10" borderId="42" xfId="0" applyFont="1" applyFill="1" applyBorder="1" applyAlignment="1" applyProtection="1">
      <alignment horizontal="center" vertical="center"/>
      <protection hidden="1"/>
    </xf>
    <xf numFmtId="0" fontId="7" fillId="10" borderId="3" xfId="0" applyFont="1" applyFill="1" applyBorder="1" applyAlignment="1" applyProtection="1">
      <alignment horizontal="center"/>
      <protection hidden="1"/>
    </xf>
    <xf numFmtId="0" fontId="81" fillId="0" borderId="0" xfId="3" applyProtection="1">
      <protection hidden="1"/>
    </xf>
    <xf numFmtId="0" fontId="86" fillId="0" borderId="46" xfId="3" applyFont="1" applyBorder="1" applyAlignment="1" applyProtection="1">
      <alignment horizontal="left" vertical="center" wrapText="1"/>
      <protection hidden="1"/>
    </xf>
    <xf numFmtId="0" fontId="81" fillId="0" borderId="0" xfId="3" applyAlignment="1" applyProtection="1">
      <alignment horizontal="center" vertical="center"/>
      <protection hidden="1"/>
    </xf>
    <xf numFmtId="0" fontId="86" fillId="0" borderId="0" xfId="3" applyFont="1" applyAlignment="1" applyProtection="1">
      <alignment horizontal="left" vertical="center" wrapText="1"/>
      <protection hidden="1"/>
    </xf>
    <xf numFmtId="0" fontId="87" fillId="0" borderId="0" xfId="3" applyFont="1" applyAlignment="1" applyProtection="1">
      <alignment horizontal="left" vertical="center" wrapText="1"/>
      <protection hidden="1"/>
    </xf>
    <xf numFmtId="0" fontId="86" fillId="21" borderId="23" xfId="3" applyFont="1" applyFill="1" applyBorder="1" applyAlignment="1" applyProtection="1">
      <alignment horizontal="left" vertical="center" wrapText="1"/>
      <protection hidden="1"/>
    </xf>
    <xf numFmtId="0" fontId="85" fillId="21" borderId="39" xfId="3" applyFont="1" applyFill="1" applyBorder="1" applyAlignment="1" applyProtection="1">
      <alignment horizontal="center" vertical="center" wrapText="1"/>
      <protection hidden="1"/>
    </xf>
    <xf numFmtId="0" fontId="87" fillId="21" borderId="9" xfId="3" applyFont="1" applyFill="1" applyBorder="1" applyAlignment="1" applyProtection="1">
      <alignment horizontal="left" vertical="center" wrapText="1"/>
      <protection hidden="1"/>
    </xf>
    <xf numFmtId="0" fontId="82" fillId="0" borderId="0" xfId="3" applyFont="1" applyAlignment="1" applyProtection="1">
      <alignment vertical="center" wrapText="1"/>
      <protection hidden="1"/>
    </xf>
    <xf numFmtId="0" fontId="82" fillId="0" borderId="0" xfId="3" applyFont="1" applyAlignment="1" applyProtection="1">
      <alignment horizontal="center" vertical="center" wrapText="1"/>
      <protection hidden="1"/>
    </xf>
    <xf numFmtId="0" fontId="82" fillId="0" borderId="0" xfId="3" applyFont="1" applyAlignment="1" applyProtection="1">
      <alignment horizontal="left" vertical="center" wrapText="1"/>
      <protection hidden="1"/>
    </xf>
    <xf numFmtId="0" fontId="86" fillId="25" borderId="64" xfId="3" applyFont="1" applyFill="1" applyBorder="1" applyAlignment="1" applyProtection="1">
      <alignment horizontal="left" vertical="center" wrapText="1"/>
      <protection hidden="1"/>
    </xf>
    <xf numFmtId="0" fontId="87" fillId="25" borderId="0" xfId="3" applyFont="1" applyFill="1" applyAlignment="1" applyProtection="1">
      <alignment horizontal="left" vertical="center" wrapText="1"/>
      <protection hidden="1"/>
    </xf>
    <xf numFmtId="0" fontId="87" fillId="22" borderId="23" xfId="3" applyFont="1" applyFill="1" applyBorder="1" applyAlignment="1" applyProtection="1">
      <alignment horizontal="left" vertical="center" wrapText="1"/>
      <protection hidden="1"/>
    </xf>
    <xf numFmtId="0" fontId="87" fillId="22" borderId="39" xfId="3" applyFont="1" applyFill="1" applyBorder="1" applyAlignment="1" applyProtection="1">
      <alignment horizontal="left" vertical="center" wrapText="1"/>
      <protection hidden="1"/>
    </xf>
    <xf numFmtId="0" fontId="87" fillId="22" borderId="9" xfId="3" applyFont="1" applyFill="1" applyBorder="1" applyAlignment="1" applyProtection="1">
      <alignment horizontal="left" vertical="center" wrapText="1"/>
      <protection hidden="1"/>
    </xf>
    <xf numFmtId="0" fontId="87" fillId="15" borderId="39" xfId="3" applyFont="1" applyFill="1" applyBorder="1" applyAlignment="1" applyProtection="1">
      <alignment horizontal="left" vertical="center" wrapText="1"/>
      <protection hidden="1"/>
    </xf>
    <xf numFmtId="0" fontId="87" fillId="15" borderId="38" xfId="3" applyFont="1" applyFill="1" applyBorder="1" applyAlignment="1" applyProtection="1">
      <alignment horizontal="left" vertical="center" wrapText="1"/>
      <protection hidden="1"/>
    </xf>
    <xf numFmtId="0" fontId="87" fillId="15" borderId="35" xfId="3" applyFont="1" applyFill="1" applyBorder="1" applyAlignment="1" applyProtection="1">
      <alignment horizontal="left" vertical="center" wrapText="1"/>
      <protection hidden="1"/>
    </xf>
    <xf numFmtId="0" fontId="90" fillId="15" borderId="8" xfId="3" applyFont="1" applyFill="1" applyBorder="1" applyAlignment="1" applyProtection="1">
      <alignment horizontal="right" vertical="center" wrapText="1"/>
      <protection hidden="1"/>
    </xf>
    <xf numFmtId="0" fontId="87" fillId="15" borderId="66" xfId="3" applyFont="1" applyFill="1" applyBorder="1" applyAlignment="1" applyProtection="1">
      <alignment horizontal="left" vertical="center" wrapText="1"/>
      <protection hidden="1"/>
    </xf>
    <xf numFmtId="0" fontId="87" fillId="15" borderId="0" xfId="3" applyFont="1" applyFill="1" applyAlignment="1" applyProtection="1">
      <alignment horizontal="left" vertical="center" wrapText="1"/>
      <protection hidden="1"/>
    </xf>
    <xf numFmtId="0" fontId="87" fillId="15" borderId="65" xfId="3" applyFont="1" applyFill="1" applyBorder="1" applyAlignment="1" applyProtection="1">
      <alignment horizontal="left" vertical="center" wrapText="1"/>
      <protection hidden="1"/>
    </xf>
    <xf numFmtId="0" fontId="82" fillId="15" borderId="47" xfId="3" applyFont="1" applyFill="1" applyBorder="1" applyAlignment="1" applyProtection="1">
      <alignment horizontal="left" vertical="center" wrapText="1"/>
      <protection hidden="1"/>
    </xf>
    <xf numFmtId="0" fontId="87" fillId="15" borderId="66" xfId="3" applyFont="1" applyFill="1" applyBorder="1" applyAlignment="1" applyProtection="1">
      <alignment horizontal="center" vertical="center" wrapText="1"/>
      <protection hidden="1"/>
    </xf>
    <xf numFmtId="0" fontId="87" fillId="15" borderId="0" xfId="3" applyFont="1" applyFill="1" applyAlignment="1" applyProtection="1">
      <alignment horizontal="center" vertical="center" wrapText="1"/>
      <protection hidden="1"/>
    </xf>
    <xf numFmtId="0" fontId="87" fillId="15" borderId="0" xfId="3" applyFont="1" applyFill="1" applyAlignment="1" applyProtection="1">
      <alignment vertical="center" wrapText="1"/>
      <protection hidden="1"/>
    </xf>
    <xf numFmtId="0" fontId="87" fillId="22" borderId="56" xfId="3" applyFont="1" applyFill="1" applyBorder="1" applyAlignment="1" applyProtection="1">
      <alignment vertical="center" wrapText="1"/>
      <protection hidden="1"/>
    </xf>
    <xf numFmtId="0" fontId="87" fillId="22" borderId="39" xfId="3" applyFont="1" applyFill="1" applyBorder="1" applyAlignment="1" applyProtection="1">
      <alignment vertical="center" wrapText="1"/>
      <protection hidden="1"/>
    </xf>
    <xf numFmtId="0" fontId="87" fillId="22" borderId="55" xfId="3" applyFont="1" applyFill="1" applyBorder="1" applyAlignment="1" applyProtection="1">
      <alignment vertical="center" wrapText="1"/>
      <protection hidden="1"/>
    </xf>
    <xf numFmtId="0" fontId="87" fillId="22" borderId="9" xfId="3" applyFont="1" applyFill="1" applyBorder="1" applyAlignment="1" applyProtection="1">
      <alignment vertical="center" wrapText="1"/>
      <protection hidden="1"/>
    </xf>
    <xf numFmtId="0" fontId="96" fillId="0" borderId="0" xfId="3" applyFont="1" applyAlignment="1" applyProtection="1">
      <alignment vertical="center" wrapText="1"/>
      <protection hidden="1"/>
    </xf>
    <xf numFmtId="0" fontId="98" fillId="15" borderId="8" xfId="3" applyFont="1" applyFill="1" applyBorder="1" applyAlignment="1" applyProtection="1">
      <alignment horizontal="left" vertical="center" wrapText="1"/>
      <protection hidden="1"/>
    </xf>
    <xf numFmtId="0" fontId="96" fillId="0" borderId="0" xfId="3" applyFont="1" applyAlignment="1" applyProtection="1">
      <alignment horizontal="center" vertical="center" wrapText="1"/>
      <protection hidden="1"/>
    </xf>
    <xf numFmtId="0" fontId="96" fillId="0" borderId="0" xfId="3" applyFont="1" applyAlignment="1" applyProtection="1">
      <alignment vertical="center" textRotation="90" wrapText="1"/>
      <protection hidden="1"/>
    </xf>
    <xf numFmtId="0" fontId="98" fillId="28" borderId="47" xfId="3" applyFont="1" applyFill="1" applyBorder="1" applyAlignment="1" applyProtection="1">
      <alignment horizontal="left" vertical="center" wrapText="1"/>
      <protection locked="0"/>
    </xf>
    <xf numFmtId="0" fontId="98" fillId="15" borderId="47" xfId="3" applyFont="1" applyFill="1" applyBorder="1" applyAlignment="1" applyProtection="1">
      <alignment horizontal="left" vertical="center" wrapText="1"/>
      <protection hidden="1"/>
    </xf>
    <xf numFmtId="0" fontId="87" fillId="25" borderId="0" xfId="3" applyFont="1" applyFill="1" applyAlignment="1" applyProtection="1">
      <alignment horizontal="center" vertical="center" wrapText="1"/>
      <protection hidden="1"/>
    </xf>
    <xf numFmtId="0" fontId="87" fillId="25" borderId="55" xfId="3" applyFont="1" applyFill="1" applyBorder="1" applyAlignment="1" applyProtection="1">
      <alignment vertical="center" wrapText="1"/>
      <protection hidden="1"/>
    </xf>
    <xf numFmtId="0" fontId="86" fillId="25" borderId="0" xfId="3" applyFont="1" applyFill="1" applyAlignment="1" applyProtection="1">
      <alignment horizontal="left" vertical="center" wrapText="1"/>
      <protection hidden="1"/>
    </xf>
    <xf numFmtId="0" fontId="98" fillId="18" borderId="8" xfId="3" applyFont="1" applyFill="1" applyBorder="1" applyAlignment="1" applyProtection="1">
      <alignment horizontal="center" vertical="center" wrapText="1"/>
      <protection hidden="1"/>
    </xf>
    <xf numFmtId="0" fontId="98" fillId="18" borderId="8" xfId="3" applyFont="1" applyFill="1" applyBorder="1" applyAlignment="1" applyProtection="1">
      <alignment horizontal="center" vertical="center"/>
      <protection hidden="1"/>
    </xf>
    <xf numFmtId="0" fontId="100" fillId="24" borderId="35" xfId="3" applyFont="1" applyFill="1" applyBorder="1" applyAlignment="1" applyProtection="1">
      <alignment horizontal="left" vertical="center" wrapText="1"/>
      <protection hidden="1"/>
    </xf>
    <xf numFmtId="0" fontId="82" fillId="15" borderId="20" xfId="3" applyFont="1" applyFill="1" applyBorder="1" applyAlignment="1" applyProtection="1">
      <alignment horizontal="left" vertical="center" wrapText="1"/>
      <protection hidden="1"/>
    </xf>
    <xf numFmtId="0" fontId="102" fillId="0" borderId="0" xfId="3" applyFont="1" applyAlignment="1" applyProtection="1">
      <alignment vertical="center" wrapText="1"/>
      <protection hidden="1"/>
    </xf>
    <xf numFmtId="0" fontId="82" fillId="15" borderId="8" xfId="3" applyFont="1" applyFill="1" applyBorder="1" applyAlignment="1" applyProtection="1">
      <alignment horizontal="left" vertical="center" wrapText="1"/>
      <protection hidden="1"/>
    </xf>
    <xf numFmtId="0" fontId="90" fillId="25" borderId="0" xfId="3" applyFont="1" applyFill="1" applyAlignment="1" applyProtection="1">
      <alignment vertical="center" wrapText="1"/>
      <protection hidden="1"/>
    </xf>
    <xf numFmtId="0" fontId="89" fillId="0" borderId="64" xfId="3" applyFont="1" applyBorder="1" applyAlignment="1" applyProtection="1">
      <alignment horizontal="left" vertical="center" wrapText="1"/>
      <protection hidden="1"/>
    </xf>
    <xf numFmtId="0" fontId="89" fillId="0" borderId="0" xfId="3" applyFont="1" applyAlignment="1" applyProtection="1">
      <alignment horizontal="left" vertical="center" wrapText="1"/>
      <protection hidden="1"/>
    </xf>
    <xf numFmtId="0" fontId="89" fillId="27" borderId="8" xfId="3" applyFont="1" applyFill="1" applyBorder="1" applyAlignment="1" applyProtection="1">
      <alignment horizontal="left" vertical="center" wrapText="1"/>
      <protection hidden="1"/>
    </xf>
    <xf numFmtId="0" fontId="89" fillId="15" borderId="0" xfId="3" applyFont="1" applyFill="1" applyAlignment="1" applyProtection="1">
      <alignment horizontal="left" vertical="center" wrapText="1"/>
      <protection hidden="1"/>
    </xf>
    <xf numFmtId="0" fontId="89" fillId="15" borderId="46" xfId="3" applyFont="1" applyFill="1" applyBorder="1" applyAlignment="1" applyProtection="1">
      <alignment horizontal="left" vertical="top"/>
      <protection hidden="1"/>
    </xf>
    <xf numFmtId="0" fontId="104" fillId="28" borderId="8" xfId="3" applyFont="1" applyFill="1" applyBorder="1" applyAlignment="1" applyProtection="1">
      <alignment horizontal="left" vertical="center" wrapText="1"/>
      <protection hidden="1"/>
    </xf>
    <xf numFmtId="0" fontId="89" fillId="15" borderId="46" xfId="3" applyFont="1" applyFill="1" applyBorder="1" applyAlignment="1" applyProtection="1">
      <alignment horizontal="left" vertical="center"/>
      <protection hidden="1"/>
    </xf>
    <xf numFmtId="0" fontId="81" fillId="0" borderId="8" xfId="3" applyBorder="1" applyAlignment="1" applyProtection="1">
      <alignment horizontal="center" vertical="center"/>
      <protection hidden="1"/>
    </xf>
    <xf numFmtId="0" fontId="81" fillId="0" borderId="64" xfId="3" applyBorder="1" applyProtection="1">
      <protection hidden="1"/>
    </xf>
    <xf numFmtId="0" fontId="9" fillId="15" borderId="0" xfId="3" applyFont="1" applyFill="1" applyAlignment="1" applyProtection="1">
      <alignment horizontal="center" vertical="center"/>
      <protection hidden="1"/>
    </xf>
    <xf numFmtId="0" fontId="9" fillId="15" borderId="46" xfId="3" applyFont="1" applyFill="1" applyBorder="1" applyAlignment="1" applyProtection="1">
      <alignment horizontal="center" vertical="center"/>
      <protection hidden="1"/>
    </xf>
    <xf numFmtId="0" fontId="82" fillId="0" borderId="0" xfId="3" applyFont="1" applyProtection="1">
      <protection hidden="1"/>
    </xf>
    <xf numFmtId="0" fontId="82" fillId="0" borderId="64" xfId="3" applyFont="1" applyBorder="1" applyProtection="1">
      <protection hidden="1"/>
    </xf>
    <xf numFmtId="0" fontId="80" fillId="0" borderId="8" xfId="3" applyFont="1" applyBorder="1" applyProtection="1">
      <protection hidden="1"/>
    </xf>
    <xf numFmtId="0" fontId="81" fillId="0" borderId="8" xfId="3" applyBorder="1" applyProtection="1">
      <protection hidden="1"/>
    </xf>
    <xf numFmtId="0" fontId="80" fillId="0" borderId="0" xfId="3" applyFont="1" applyProtection="1">
      <protection hidden="1"/>
    </xf>
    <xf numFmtId="0" fontId="105" fillId="0" borderId="0" xfId="3" applyFont="1" applyAlignment="1">
      <alignment horizontal="center" vertical="center"/>
    </xf>
    <xf numFmtId="0" fontId="81" fillId="0" borderId="9" xfId="3" applyBorder="1" applyProtection="1">
      <protection hidden="1"/>
    </xf>
    <xf numFmtId="0" fontId="81" fillId="0" borderId="8" xfId="3" applyBorder="1" applyAlignment="1" applyProtection="1">
      <alignment wrapText="1"/>
      <protection hidden="1"/>
    </xf>
    <xf numFmtId="0" fontId="81" fillId="0" borderId="0" xfId="3" applyAlignment="1" applyProtection="1">
      <alignment wrapText="1"/>
      <protection hidden="1"/>
    </xf>
    <xf numFmtId="0" fontId="81" fillId="0" borderId="8" xfId="3" applyBorder="1" applyAlignment="1" applyProtection="1">
      <alignment horizontal="center" vertical="center" wrapText="1"/>
      <protection hidden="1"/>
    </xf>
    <xf numFmtId="0" fontId="81" fillId="0" borderId="57" xfId="3" applyBorder="1" applyProtection="1">
      <protection hidden="1"/>
    </xf>
    <xf numFmtId="0" fontId="81" fillId="0" borderId="38" xfId="3" applyBorder="1" applyProtection="1">
      <protection hidden="1"/>
    </xf>
    <xf numFmtId="0" fontId="81" fillId="0" borderId="35" xfId="3" applyBorder="1" applyProtection="1">
      <protection hidden="1"/>
    </xf>
    <xf numFmtId="0" fontId="81" fillId="0" borderId="66" xfId="3" applyBorder="1" applyProtection="1">
      <protection hidden="1"/>
    </xf>
    <xf numFmtId="0" fontId="81" fillId="0" borderId="65" xfId="3" applyBorder="1" applyProtection="1">
      <protection hidden="1"/>
    </xf>
    <xf numFmtId="0" fontId="107" fillId="0" borderId="0" xfId="3" applyFont="1" applyProtection="1">
      <protection hidden="1"/>
    </xf>
    <xf numFmtId="0" fontId="108" fillId="0" borderId="0" xfId="3" applyFont="1" applyProtection="1">
      <protection hidden="1"/>
    </xf>
    <xf numFmtId="0" fontId="2" fillId="0" borderId="0" xfId="3" applyFont="1" applyProtection="1">
      <protection hidden="1"/>
    </xf>
    <xf numFmtId="0" fontId="82" fillId="15" borderId="0" xfId="3" applyFont="1" applyFill="1" applyAlignment="1" applyProtection="1">
      <alignment vertical="center" wrapText="1"/>
      <protection hidden="1"/>
    </xf>
    <xf numFmtId="0" fontId="87" fillId="0" borderId="8" xfId="3" applyFont="1" applyBorder="1" applyAlignment="1" applyProtection="1">
      <alignment horizontal="left" vertical="center" wrapText="1"/>
      <protection hidden="1"/>
    </xf>
    <xf numFmtId="0" fontId="81" fillId="29" borderId="23" xfId="3" applyFill="1" applyBorder="1" applyProtection="1">
      <protection hidden="1"/>
    </xf>
    <xf numFmtId="0" fontId="86" fillId="29" borderId="39" xfId="3" applyFont="1" applyFill="1" applyBorder="1" applyAlignment="1" applyProtection="1">
      <alignment horizontal="left" vertical="center" wrapText="1"/>
      <protection hidden="1"/>
    </xf>
    <xf numFmtId="0" fontId="109" fillId="29" borderId="39" xfId="3" applyFont="1" applyFill="1" applyBorder="1" applyAlignment="1" applyProtection="1">
      <alignment horizontal="center" vertical="center" wrapText="1"/>
      <protection hidden="1"/>
    </xf>
    <xf numFmtId="0" fontId="87" fillId="29" borderId="9" xfId="3" applyFont="1" applyFill="1" applyBorder="1" applyAlignment="1" applyProtection="1">
      <alignment horizontal="left" vertical="center" wrapText="1"/>
      <protection hidden="1"/>
    </xf>
    <xf numFmtId="0" fontId="81" fillId="25" borderId="57" xfId="3" applyFill="1" applyBorder="1" applyProtection="1">
      <protection hidden="1"/>
    </xf>
    <xf numFmtId="0" fontId="86" fillId="25" borderId="38" xfId="3" applyFont="1" applyFill="1" applyBorder="1" applyAlignment="1" applyProtection="1">
      <alignment horizontal="left" vertical="center" wrapText="1"/>
      <protection hidden="1"/>
    </xf>
    <xf numFmtId="0" fontId="87" fillId="25" borderId="35" xfId="3" applyFont="1" applyFill="1" applyBorder="1" applyAlignment="1" applyProtection="1">
      <alignment horizontal="left" vertical="center" wrapText="1"/>
      <protection hidden="1"/>
    </xf>
    <xf numFmtId="0" fontId="81" fillId="25" borderId="66" xfId="3" applyFill="1" applyBorder="1" applyProtection="1">
      <protection hidden="1"/>
    </xf>
    <xf numFmtId="0" fontId="87" fillId="25" borderId="65" xfId="3" applyFont="1" applyFill="1" applyBorder="1" applyAlignment="1" applyProtection="1">
      <alignment horizontal="left" vertical="center" wrapText="1"/>
      <protection hidden="1"/>
    </xf>
    <xf numFmtId="0" fontId="87" fillId="27" borderId="47" xfId="3" applyFont="1" applyFill="1" applyBorder="1" applyAlignment="1" applyProtection="1">
      <alignment horizontal="center" vertical="center" wrapText="1"/>
      <protection locked="0"/>
    </xf>
    <xf numFmtId="0" fontId="87" fillId="30" borderId="23" xfId="3" applyFont="1" applyFill="1" applyBorder="1" applyAlignment="1" applyProtection="1">
      <alignment horizontal="left" vertical="center" wrapText="1"/>
      <protection hidden="1"/>
    </xf>
    <xf numFmtId="0" fontId="87" fillId="30" borderId="39" xfId="3" applyFont="1" applyFill="1" applyBorder="1" applyAlignment="1" applyProtection="1">
      <alignment horizontal="left" vertical="center" wrapText="1"/>
      <protection hidden="1"/>
    </xf>
    <xf numFmtId="0" fontId="87" fillId="30" borderId="9" xfId="3" applyFont="1" applyFill="1" applyBorder="1" applyAlignment="1" applyProtection="1">
      <alignment horizontal="left" vertical="center" wrapText="1"/>
      <protection hidden="1"/>
    </xf>
    <xf numFmtId="0" fontId="111" fillId="0" borderId="8" xfId="3" applyFont="1" applyBorder="1" applyAlignment="1" applyProtection="1">
      <alignment horizontal="center" vertical="center" wrapText="1"/>
      <protection hidden="1"/>
    </xf>
    <xf numFmtId="0" fontId="87" fillId="30" borderId="56" xfId="3" applyFont="1" applyFill="1" applyBorder="1" applyAlignment="1" applyProtection="1">
      <alignment horizontal="left" vertical="center" wrapText="1"/>
      <protection hidden="1"/>
    </xf>
    <xf numFmtId="0" fontId="87" fillId="30" borderId="55" xfId="3" applyFont="1" applyFill="1" applyBorder="1" applyAlignment="1" applyProtection="1">
      <alignment horizontal="left" vertical="center" wrapText="1"/>
      <protection hidden="1"/>
    </xf>
    <xf numFmtId="0" fontId="87" fillId="30" borderId="56" xfId="3" applyFont="1" applyFill="1" applyBorder="1" applyAlignment="1" applyProtection="1">
      <alignment vertical="center" wrapText="1"/>
      <protection hidden="1"/>
    </xf>
    <xf numFmtId="0" fontId="87" fillId="30" borderId="55" xfId="3" applyFont="1" applyFill="1" applyBorder="1" applyAlignment="1" applyProtection="1">
      <alignment vertical="center" wrapText="1"/>
      <protection hidden="1"/>
    </xf>
    <xf numFmtId="0" fontId="87" fillId="30" borderId="39" xfId="3" applyFont="1" applyFill="1" applyBorder="1" applyAlignment="1" applyProtection="1">
      <alignment vertical="center" wrapText="1"/>
      <protection hidden="1"/>
    </xf>
    <xf numFmtId="0" fontId="87" fillId="30" borderId="9" xfId="3" applyFont="1" applyFill="1" applyBorder="1" applyAlignment="1" applyProtection="1">
      <alignment vertical="center" wrapText="1"/>
      <protection hidden="1"/>
    </xf>
    <xf numFmtId="0" fontId="87" fillId="15" borderId="56" xfId="3" applyFont="1" applyFill="1" applyBorder="1" applyAlignment="1" applyProtection="1">
      <alignment horizontal="center" vertical="center" wrapText="1"/>
      <protection hidden="1"/>
    </xf>
    <xf numFmtId="0" fontId="87" fillId="15" borderId="55" xfId="3" applyFont="1" applyFill="1" applyBorder="1" applyAlignment="1" applyProtection="1">
      <alignment horizontal="center" vertical="center" wrapText="1"/>
      <protection hidden="1"/>
    </xf>
    <xf numFmtId="0" fontId="87" fillId="15" borderId="55" xfId="3" applyFont="1" applyFill="1" applyBorder="1" applyAlignment="1" applyProtection="1">
      <alignment vertical="center" wrapText="1"/>
      <protection hidden="1"/>
    </xf>
    <xf numFmtId="0" fontId="87" fillId="30" borderId="23" xfId="3" applyFont="1" applyFill="1" applyBorder="1" applyAlignment="1" applyProtection="1">
      <alignment vertical="center" wrapText="1"/>
      <protection hidden="1"/>
    </xf>
    <xf numFmtId="0" fontId="110" fillId="15" borderId="0" xfId="3" applyFont="1" applyFill="1" applyAlignment="1" applyProtection="1">
      <alignment horizontal="left" vertical="center" wrapText="1"/>
      <protection hidden="1"/>
    </xf>
    <xf numFmtId="0" fontId="110" fillId="15" borderId="0" xfId="3" applyFont="1" applyFill="1" applyAlignment="1" applyProtection="1">
      <alignment horizontal="left" vertical="center"/>
      <protection hidden="1"/>
    </xf>
    <xf numFmtId="0" fontId="87" fillId="28" borderId="20" xfId="3" applyFont="1" applyFill="1" applyBorder="1" applyAlignment="1" applyProtection="1">
      <alignment horizontal="center" vertical="center" wrapText="1"/>
      <protection locked="0"/>
    </xf>
    <xf numFmtId="0" fontId="90" fillId="15" borderId="0" xfId="3" applyFont="1" applyFill="1" applyAlignment="1" applyProtection="1">
      <alignment vertical="center" wrapText="1"/>
      <protection hidden="1"/>
    </xf>
    <xf numFmtId="0" fontId="85" fillId="31" borderId="20" xfId="3" applyFont="1" applyFill="1" applyBorder="1" applyAlignment="1" applyProtection="1">
      <alignment horizontal="center" vertical="center" wrapText="1"/>
      <protection hidden="1"/>
    </xf>
    <xf numFmtId="0" fontId="87" fillId="25" borderId="0" xfId="3" applyFont="1" applyFill="1" applyAlignment="1" applyProtection="1">
      <alignment vertical="center" wrapText="1"/>
      <protection hidden="1"/>
    </xf>
    <xf numFmtId="0" fontId="97" fillId="0" borderId="8" xfId="3" applyFont="1" applyBorder="1" applyAlignment="1" applyProtection="1">
      <alignment horizontal="left" vertical="center" wrapText="1"/>
      <protection hidden="1"/>
    </xf>
    <xf numFmtId="0" fontId="97" fillId="24" borderId="8" xfId="3" applyFont="1" applyFill="1" applyBorder="1" applyAlignment="1" applyProtection="1">
      <alignment horizontal="center" vertical="center" wrapText="1"/>
      <protection hidden="1"/>
    </xf>
    <xf numFmtId="0" fontId="86" fillId="25" borderId="65" xfId="3" applyFont="1" applyFill="1" applyBorder="1" applyAlignment="1" applyProtection="1">
      <alignment horizontal="left" vertical="center" wrapText="1"/>
      <protection hidden="1"/>
    </xf>
    <xf numFmtId="0" fontId="85" fillId="31" borderId="9" xfId="3" applyFont="1" applyFill="1" applyBorder="1" applyAlignment="1" applyProtection="1">
      <alignment horizontal="center" vertical="center" wrapText="1"/>
      <protection hidden="1"/>
    </xf>
    <xf numFmtId="0" fontId="86" fillId="25" borderId="55" xfId="3" applyFont="1" applyFill="1" applyBorder="1" applyAlignment="1" applyProtection="1">
      <alignment horizontal="left" vertical="center" wrapText="1"/>
      <protection hidden="1"/>
    </xf>
    <xf numFmtId="0" fontId="90" fillId="25" borderId="55" xfId="3" applyFont="1" applyFill="1" applyBorder="1" applyAlignment="1" applyProtection="1">
      <alignment vertical="center" wrapText="1"/>
      <protection hidden="1"/>
    </xf>
    <xf numFmtId="0" fontId="86" fillId="25" borderId="21" xfId="3" applyFont="1" applyFill="1" applyBorder="1" applyAlignment="1" applyProtection="1">
      <alignment horizontal="left" vertical="center" wrapText="1"/>
      <protection hidden="1"/>
    </xf>
    <xf numFmtId="0" fontId="9" fillId="5" borderId="0" xfId="3" applyFont="1" applyFill="1" applyAlignment="1" applyProtection="1">
      <alignment horizontal="center" vertical="center"/>
      <protection hidden="1"/>
    </xf>
    <xf numFmtId="0" fontId="81" fillId="0" borderId="0" xfId="3" applyAlignment="1" applyProtection="1">
      <alignment vertical="center"/>
      <protection hidden="1"/>
    </xf>
    <xf numFmtId="0" fontId="116" fillId="15" borderId="0" xfId="3" applyFont="1" applyFill="1" applyAlignment="1" applyProtection="1">
      <alignment vertical="center" wrapText="1"/>
      <protection hidden="1"/>
    </xf>
    <xf numFmtId="0" fontId="56" fillId="22" borderId="3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87" fillId="27" borderId="8" xfId="3" applyFont="1" applyFill="1" applyBorder="1" applyAlignment="1" applyProtection="1">
      <alignment horizontal="center" vertical="center" wrapText="1"/>
      <protection locked="0"/>
    </xf>
    <xf numFmtId="0" fontId="97" fillId="28" borderId="8" xfId="3" applyFont="1" applyFill="1" applyBorder="1" applyAlignment="1" applyProtection="1">
      <alignment horizontal="center" vertical="center" wrapText="1"/>
      <protection locked="0"/>
    </xf>
    <xf numFmtId="0" fontId="85" fillId="21" borderId="39" xfId="3" applyFont="1" applyFill="1" applyBorder="1" applyAlignment="1" applyProtection="1">
      <alignment horizontal="left" vertical="center" wrapText="1"/>
      <protection hidden="1"/>
    </xf>
    <xf numFmtId="0" fontId="87" fillId="29" borderId="39" xfId="3" applyFont="1" applyFill="1" applyBorder="1" applyAlignment="1" applyProtection="1">
      <alignment horizontal="left" vertical="center" wrapText="1"/>
      <protection hidden="1"/>
    </xf>
    <xf numFmtId="0" fontId="86" fillId="25" borderId="46" xfId="3" applyFont="1" applyFill="1" applyBorder="1" applyAlignment="1" applyProtection="1">
      <alignment horizontal="left" vertical="center" wrapText="1"/>
      <protection hidden="1"/>
    </xf>
    <xf numFmtId="0" fontId="86" fillId="25" borderId="27" xfId="3" applyFont="1" applyFill="1" applyBorder="1" applyAlignment="1" applyProtection="1">
      <alignment horizontal="left" vertical="center" wrapText="1"/>
      <protection hidden="1"/>
    </xf>
    <xf numFmtId="0" fontId="82" fillId="25" borderId="38" xfId="3" applyFont="1" applyFill="1" applyBorder="1" applyAlignment="1" applyProtection="1">
      <alignment horizontal="left" vertical="center" wrapText="1"/>
      <protection hidden="1"/>
    </xf>
    <xf numFmtId="0" fontId="82" fillId="25" borderId="38" xfId="3" applyFont="1" applyFill="1" applyBorder="1" applyAlignment="1" applyProtection="1">
      <alignment horizontal="center" vertical="center" wrapText="1"/>
      <protection hidden="1"/>
    </xf>
    <xf numFmtId="0" fontId="82" fillId="25" borderId="38" xfId="3" applyFont="1" applyFill="1" applyBorder="1" applyAlignment="1" applyProtection="1">
      <alignment vertical="center" wrapText="1"/>
      <protection hidden="1"/>
    </xf>
    <xf numFmtId="0" fontId="87" fillId="25" borderId="38" xfId="3" applyFont="1" applyFill="1" applyBorder="1" applyAlignment="1" applyProtection="1">
      <alignment horizontal="left" vertical="center" wrapText="1"/>
      <protection hidden="1"/>
    </xf>
    <xf numFmtId="0" fontId="102" fillId="25" borderId="0" xfId="3" applyFont="1" applyFill="1" applyAlignment="1" applyProtection="1">
      <alignment vertical="center" wrapText="1"/>
      <protection hidden="1"/>
    </xf>
    <xf numFmtId="0" fontId="96" fillId="25" borderId="0" xfId="3" applyFont="1" applyFill="1" applyAlignment="1" applyProtection="1">
      <alignment vertical="center" textRotation="180" wrapText="1"/>
      <protection hidden="1"/>
    </xf>
    <xf numFmtId="0" fontId="96" fillId="25" borderId="0" xfId="3" applyFont="1" applyFill="1" applyAlignment="1" applyProtection="1">
      <alignment vertical="center" wrapText="1"/>
      <protection hidden="1"/>
    </xf>
    <xf numFmtId="0" fontId="81" fillId="32" borderId="56" xfId="3" applyFill="1" applyBorder="1" applyProtection="1">
      <protection hidden="1"/>
    </xf>
    <xf numFmtId="0" fontId="9" fillId="5" borderId="65" xfId="3" applyFont="1" applyFill="1" applyBorder="1" applyAlignment="1" applyProtection="1">
      <alignment horizontal="center" vertical="center"/>
      <protection hidden="1"/>
    </xf>
    <xf numFmtId="0" fontId="86" fillId="25" borderId="35" xfId="3" applyFont="1" applyFill="1" applyBorder="1" applyAlignment="1" applyProtection="1">
      <alignment horizontal="left" vertical="center" wrapText="1"/>
      <protection hidden="1"/>
    </xf>
    <xf numFmtId="0" fontId="123" fillId="0" borderId="65" xfId="3" applyFont="1" applyBorder="1" applyAlignment="1" applyProtection="1">
      <alignment horizontal="left" vertical="center"/>
      <protection hidden="1"/>
    </xf>
    <xf numFmtId="0" fontId="123" fillId="0" borderId="0" xfId="3" applyFont="1" applyAlignment="1" applyProtection="1">
      <alignment horizontal="left" vertical="center" wrapText="1"/>
      <protection hidden="1"/>
    </xf>
    <xf numFmtId="0" fontId="123" fillId="14" borderId="8" xfId="3" applyFont="1" applyFill="1" applyBorder="1" applyAlignment="1" applyProtection="1">
      <alignment horizontal="left" vertical="center" wrapText="1"/>
      <protection hidden="1"/>
    </xf>
    <xf numFmtId="0" fontId="123" fillId="15" borderId="0" xfId="3" applyFont="1" applyFill="1" applyAlignment="1" applyProtection="1">
      <alignment horizontal="left" vertical="center" wrapText="1"/>
      <protection hidden="1"/>
    </xf>
    <xf numFmtId="0" fontId="123" fillId="0" borderId="65" xfId="3" applyFont="1" applyBorder="1" applyAlignment="1" applyProtection="1">
      <alignment horizontal="left" vertical="top"/>
      <protection hidden="1"/>
    </xf>
    <xf numFmtId="0" fontId="123" fillId="27" borderId="8" xfId="3" applyFont="1" applyFill="1" applyBorder="1" applyAlignment="1" applyProtection="1">
      <alignment horizontal="left" vertical="center" wrapText="1"/>
      <protection hidden="1"/>
    </xf>
    <xf numFmtId="0" fontId="9" fillId="15" borderId="65" xfId="3" applyFont="1" applyFill="1" applyBorder="1" applyAlignment="1" applyProtection="1">
      <alignment horizontal="center" vertical="center"/>
      <protection hidden="1"/>
    </xf>
    <xf numFmtId="0" fontId="125" fillId="0" borderId="0" xfId="3" applyFont="1" applyProtection="1">
      <protection hidden="1"/>
    </xf>
    <xf numFmtId="0" fontId="82" fillId="0" borderId="66" xfId="3" applyFont="1" applyBorder="1" applyProtection="1">
      <protection hidden="1"/>
    </xf>
    <xf numFmtId="0" fontId="86" fillId="0" borderId="66" xfId="3" applyFont="1" applyBorder="1" applyAlignment="1" applyProtection="1">
      <alignment horizontal="left" vertical="center" wrapText="1"/>
      <protection hidden="1"/>
    </xf>
    <xf numFmtId="0" fontId="86" fillId="0" borderId="65" xfId="3" applyFont="1" applyBorder="1" applyAlignment="1" applyProtection="1">
      <alignment horizontal="left" vertical="center" wrapText="1"/>
      <protection hidden="1"/>
    </xf>
    <xf numFmtId="2" fontId="44" fillId="10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10" borderId="29" xfId="0" applyFill="1" applyBorder="1" applyProtection="1">
      <protection hidden="1"/>
    </xf>
    <xf numFmtId="1" fontId="49" fillId="15" borderId="0" xfId="0" applyNumberFormat="1" applyFont="1" applyFill="1" applyAlignment="1">
      <alignment horizontal="center" vertical="center"/>
    </xf>
    <xf numFmtId="2" fontId="44" fillId="15" borderId="0" xfId="0" applyNumberFormat="1" applyFont="1" applyFill="1" applyAlignment="1" applyProtection="1">
      <alignment horizontal="center" vertical="center" wrapText="1"/>
      <protection hidden="1"/>
    </xf>
    <xf numFmtId="1" fontId="23" fillId="15" borderId="0" xfId="0" applyNumberFormat="1" applyFont="1" applyFill="1" applyAlignment="1" applyProtection="1">
      <alignment horizontal="center" vertical="center"/>
      <protection hidden="1"/>
    </xf>
    <xf numFmtId="0" fontId="0" fillId="15" borderId="0" xfId="0" applyFill="1" applyProtection="1">
      <protection hidden="1"/>
    </xf>
    <xf numFmtId="0" fontId="6" fillId="15" borderId="0" xfId="0" applyFont="1" applyFill="1" applyAlignment="1" applyProtection="1">
      <alignment horizontal="center" vertical="center" wrapText="1"/>
      <protection hidden="1"/>
    </xf>
    <xf numFmtId="2" fontId="6" fillId="15" borderId="0" xfId="0" applyNumberFormat="1" applyFont="1" applyFill="1" applyAlignment="1" applyProtection="1">
      <alignment horizontal="center" vertical="center" wrapText="1"/>
      <protection hidden="1"/>
    </xf>
    <xf numFmtId="0" fontId="6" fillId="10" borderId="3" xfId="0" applyFont="1" applyFill="1" applyBorder="1" applyAlignment="1" applyProtection="1">
      <alignment horizontal="center" vertical="center" wrapText="1"/>
      <protection hidden="1"/>
    </xf>
    <xf numFmtId="2" fontId="6" fillId="10" borderId="42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37" xfId="0" applyFont="1" applyFill="1" applyBorder="1" applyAlignment="1" applyProtection="1">
      <alignment horizontal="left" vertical="center" wrapText="1"/>
      <protection hidden="1"/>
    </xf>
    <xf numFmtId="0" fontId="6" fillId="15" borderId="5" xfId="0" applyFont="1" applyFill="1" applyBorder="1" applyAlignment="1" applyProtection="1">
      <alignment horizontal="center" vertical="center" wrapText="1"/>
      <protection hidden="1"/>
    </xf>
    <xf numFmtId="0" fontId="55" fillId="22" borderId="51" xfId="0" applyFont="1" applyFill="1" applyBorder="1" applyAlignment="1" applyProtection="1">
      <alignment horizontal="center" vertical="center"/>
      <protection hidden="1"/>
    </xf>
    <xf numFmtId="0" fontId="56" fillId="20" borderId="32" xfId="0" applyFont="1" applyFill="1" applyBorder="1" applyAlignment="1" applyProtection="1">
      <alignment horizontal="center" vertical="center" wrapText="1"/>
      <protection hidden="1"/>
    </xf>
    <xf numFmtId="0" fontId="6" fillId="11" borderId="33" xfId="0" applyFont="1" applyFill="1" applyBorder="1" applyAlignment="1" applyProtection="1">
      <alignment horizontal="center" vertical="center" wrapText="1"/>
      <protection hidden="1"/>
    </xf>
    <xf numFmtId="1" fontId="50" fillId="11" borderId="31" xfId="0" applyNumberFormat="1" applyFont="1" applyFill="1" applyBorder="1" applyAlignment="1" applyProtection="1">
      <alignment horizontal="center" vertical="center"/>
      <protection hidden="1"/>
    </xf>
    <xf numFmtId="0" fontId="6" fillId="11" borderId="37" xfId="0" applyFont="1" applyFill="1" applyBorder="1" applyAlignment="1" applyProtection="1">
      <alignment horizontal="center" vertical="center" wrapText="1"/>
      <protection hidden="1"/>
    </xf>
    <xf numFmtId="0" fontId="127" fillId="0" borderId="0" xfId="0" applyFont="1" applyAlignment="1">
      <alignment vertical="center"/>
    </xf>
    <xf numFmtId="0" fontId="19" fillId="6" borderId="38" xfId="0" applyFont="1" applyFill="1" applyBorder="1" applyAlignment="1" applyProtection="1">
      <alignment horizontal="center" vertical="center"/>
      <protection hidden="1"/>
    </xf>
    <xf numFmtId="0" fontId="19" fillId="6" borderId="27" xfId="0" applyFont="1" applyFill="1" applyBorder="1" applyAlignment="1" applyProtection="1">
      <alignment horizontal="center" vertical="center"/>
      <protection hidden="1"/>
    </xf>
    <xf numFmtId="0" fontId="40" fillId="10" borderId="33" xfId="0" applyFont="1" applyFill="1" applyBorder="1" applyAlignment="1" applyProtection="1">
      <alignment horizontal="center" vertical="center" wrapText="1"/>
      <protection hidden="1"/>
    </xf>
    <xf numFmtId="0" fontId="0" fillId="0" borderId="66" xfId="0" applyBorder="1" applyProtection="1">
      <protection hidden="1"/>
    </xf>
    <xf numFmtId="0" fontId="6" fillId="6" borderId="35" xfId="0" applyFont="1" applyFill="1" applyBorder="1" applyAlignment="1" applyProtection="1">
      <alignment horizontal="center" vertical="center" wrapText="1"/>
      <protection hidden="1"/>
    </xf>
    <xf numFmtId="0" fontId="127" fillId="0" borderId="65" xfId="0" applyFont="1" applyBorder="1" applyAlignment="1">
      <alignment vertical="center"/>
    </xf>
    <xf numFmtId="0" fontId="19" fillId="0" borderId="66" xfId="0" applyFont="1" applyBorder="1" applyAlignment="1">
      <alignment horizontal="center" vertical="center"/>
    </xf>
    <xf numFmtId="1" fontId="49" fillId="16" borderId="30" xfId="0" applyNumberFormat="1" applyFont="1" applyFill="1" applyBorder="1" applyAlignment="1" applyProtection="1">
      <alignment horizontal="center" vertical="center"/>
      <protection locked="0"/>
    </xf>
    <xf numFmtId="1" fontId="49" fillId="17" borderId="30" xfId="0" applyNumberFormat="1" applyFont="1" applyFill="1" applyBorder="1" applyAlignment="1" applyProtection="1">
      <alignment horizontal="center" vertical="center"/>
      <protection locked="0"/>
    </xf>
    <xf numFmtId="0" fontId="17" fillId="15" borderId="0" xfId="0" applyFont="1" applyFill="1" applyProtection="1">
      <protection hidden="1"/>
    </xf>
    <xf numFmtId="0" fontId="130" fillId="15" borderId="0" xfId="4" applyFont="1" applyFill="1" applyBorder="1" applyProtection="1">
      <protection hidden="1"/>
    </xf>
    <xf numFmtId="0" fontId="17" fillId="0" borderId="0" xfId="0" applyFont="1" applyProtection="1">
      <protection hidden="1"/>
    </xf>
    <xf numFmtId="1" fontId="63" fillId="16" borderId="30" xfId="0" applyNumberFormat="1" applyFont="1" applyFill="1" applyBorder="1" applyAlignment="1" applyProtection="1">
      <alignment horizontal="center" vertical="center"/>
      <protection locked="0"/>
    </xf>
    <xf numFmtId="1" fontId="63" fillId="16" borderId="37" xfId="0" applyNumberFormat="1" applyFont="1" applyFill="1" applyBorder="1" applyAlignment="1" applyProtection="1">
      <alignment horizontal="center" vertical="center"/>
      <protection locked="0"/>
    </xf>
    <xf numFmtId="1" fontId="64" fillId="16" borderId="37" xfId="0" applyNumberFormat="1" applyFont="1" applyFill="1" applyBorder="1" applyAlignment="1" applyProtection="1">
      <alignment horizontal="center" vertical="center"/>
      <protection locked="0"/>
    </xf>
    <xf numFmtId="1" fontId="64" fillId="16" borderId="41" xfId="0" applyNumberFormat="1" applyFont="1" applyFill="1" applyBorder="1" applyAlignment="1" applyProtection="1">
      <alignment horizontal="center" vertical="center"/>
      <protection locked="0"/>
    </xf>
    <xf numFmtId="1" fontId="63" fillId="17" borderId="30" xfId="0" applyNumberFormat="1" applyFont="1" applyFill="1" applyBorder="1" applyAlignment="1" applyProtection="1">
      <alignment horizontal="center" vertical="center"/>
      <protection locked="0"/>
    </xf>
    <xf numFmtId="1" fontId="64" fillId="17" borderId="30" xfId="0" applyNumberFormat="1" applyFont="1" applyFill="1" applyBorder="1" applyAlignment="1" applyProtection="1">
      <alignment horizontal="center" vertical="center"/>
      <protection locked="0"/>
    </xf>
    <xf numFmtId="1" fontId="64" fillId="17" borderId="31" xfId="0" applyNumberFormat="1" applyFont="1" applyFill="1" applyBorder="1" applyAlignment="1" applyProtection="1">
      <alignment horizontal="center" vertical="center"/>
      <protection locked="0"/>
    </xf>
    <xf numFmtId="1" fontId="64" fillId="16" borderId="30" xfId="0" applyNumberFormat="1" applyFont="1" applyFill="1" applyBorder="1" applyAlignment="1" applyProtection="1">
      <alignment horizontal="center" vertical="center"/>
      <protection locked="0"/>
    </xf>
    <xf numFmtId="1" fontId="64" fillId="16" borderId="31" xfId="0" applyNumberFormat="1" applyFont="1" applyFill="1" applyBorder="1" applyAlignment="1" applyProtection="1">
      <alignment horizontal="center" vertical="center"/>
      <protection locked="0"/>
    </xf>
    <xf numFmtId="1" fontId="64" fillId="17" borderId="34" xfId="0" applyNumberFormat="1" applyFont="1" applyFill="1" applyBorder="1" applyAlignment="1" applyProtection="1">
      <alignment horizontal="center" vertical="center"/>
      <protection locked="0"/>
    </xf>
    <xf numFmtId="1" fontId="64" fillId="17" borderId="46" xfId="0" applyNumberFormat="1" applyFont="1" applyFill="1" applyBorder="1" applyAlignment="1" applyProtection="1">
      <alignment horizontal="center" vertical="center"/>
      <protection locked="0"/>
    </xf>
    <xf numFmtId="0" fontId="119" fillId="0" borderId="0" xfId="4"/>
    <xf numFmtId="0" fontId="133" fillId="35" borderId="30" xfId="4" applyFont="1" applyFill="1" applyBorder="1" applyAlignment="1" applyProtection="1">
      <alignment horizontal="center" vertical="center"/>
      <protection locked="0"/>
    </xf>
    <xf numFmtId="0" fontId="137" fillId="35" borderId="30" xfId="4" applyFont="1" applyFill="1" applyBorder="1" applyAlignment="1" applyProtection="1">
      <alignment horizontal="center" vertical="center"/>
      <protection locked="0"/>
    </xf>
    <xf numFmtId="0" fontId="138" fillId="35" borderId="30" xfId="4" applyFont="1" applyFill="1" applyBorder="1" applyAlignment="1" applyProtection="1">
      <alignment horizontal="center" vertical="center"/>
      <protection locked="0"/>
    </xf>
    <xf numFmtId="0" fontId="134" fillId="35" borderId="30" xfId="4" applyFont="1" applyFill="1" applyBorder="1" applyAlignment="1" applyProtection="1">
      <alignment horizontal="center" vertical="center"/>
      <protection locked="0"/>
    </xf>
    <xf numFmtId="0" fontId="84" fillId="0" borderId="0" xfId="3" applyFont="1" applyProtection="1">
      <protection hidden="1"/>
    </xf>
    <xf numFmtId="0" fontId="16" fillId="0" borderId="0" xfId="0" applyFont="1" applyAlignment="1">
      <alignment horizontal="center" vertical="center"/>
    </xf>
    <xf numFmtId="0" fontId="133" fillId="35" borderId="30" xfId="4" applyFont="1" applyFill="1" applyBorder="1" applyAlignment="1" applyProtection="1">
      <alignment horizontal="center" vertical="center"/>
      <protection hidden="1"/>
    </xf>
    <xf numFmtId="4" fontId="81" fillId="0" borderId="0" xfId="3" applyNumberFormat="1" applyProtection="1">
      <protection hidden="1"/>
    </xf>
    <xf numFmtId="2" fontId="81" fillId="0" borderId="0" xfId="3" applyNumberFormat="1" applyProtection="1">
      <protection hidden="1"/>
    </xf>
    <xf numFmtId="0" fontId="98" fillId="28" borderId="47" xfId="3" applyFont="1" applyFill="1" applyBorder="1" applyAlignment="1" applyProtection="1">
      <alignment horizontal="center" vertical="center" wrapText="1"/>
      <protection locked="0"/>
    </xf>
    <xf numFmtId="0" fontId="141" fillId="15" borderId="0" xfId="4" applyFont="1" applyFill="1" applyBorder="1" applyProtection="1">
      <protection hidden="1"/>
    </xf>
    <xf numFmtId="0" fontId="141" fillId="15" borderId="0" xfId="0" applyFont="1" applyFill="1" applyProtection="1">
      <protection hidden="1"/>
    </xf>
    <xf numFmtId="0" fontId="142" fillId="0" borderId="0" xfId="0" applyFont="1" applyProtection="1">
      <protection hidden="1"/>
    </xf>
    <xf numFmtId="0" fontId="142" fillId="0" borderId="72" xfId="0" applyFont="1" applyBorder="1" applyProtection="1">
      <protection hidden="1"/>
    </xf>
    <xf numFmtId="0" fontId="142" fillId="0" borderId="71" xfId="0" applyFont="1" applyBorder="1" applyProtection="1">
      <protection hidden="1"/>
    </xf>
    <xf numFmtId="0" fontId="142" fillId="0" borderId="74" xfId="0" applyFont="1" applyBorder="1" applyProtection="1">
      <protection hidden="1"/>
    </xf>
    <xf numFmtId="0" fontId="141" fillId="0" borderId="0" xfId="0" applyFont="1" applyProtection="1">
      <protection hidden="1"/>
    </xf>
    <xf numFmtId="0" fontId="144" fillId="0" borderId="0" xfId="0" applyFont="1" applyProtection="1">
      <protection hidden="1"/>
    </xf>
    <xf numFmtId="0" fontId="144" fillId="0" borderId="72" xfId="0" applyFont="1" applyBorder="1" applyProtection="1">
      <protection hidden="1"/>
    </xf>
    <xf numFmtId="0" fontId="144" fillId="0" borderId="0" xfId="0" applyFont="1"/>
    <xf numFmtId="0" fontId="81" fillId="0" borderId="0" xfId="3"/>
    <xf numFmtId="0" fontId="146" fillId="0" borderId="8" xfId="3" applyFont="1" applyBorder="1" applyAlignment="1">
      <alignment horizontal="center" vertical="center"/>
    </xf>
    <xf numFmtId="0" fontId="148" fillId="0" borderId="8" xfId="3" applyFont="1" applyBorder="1" applyAlignment="1" applyProtection="1">
      <alignment horizontal="center" vertical="center"/>
      <protection hidden="1"/>
    </xf>
    <xf numFmtId="0" fontId="147" fillId="0" borderId="8" xfId="3" applyFont="1" applyBorder="1" applyAlignment="1" applyProtection="1">
      <alignment horizontal="center" vertical="center"/>
      <protection hidden="1"/>
    </xf>
    <xf numFmtId="0" fontId="146" fillId="0" borderId="0" xfId="3" applyFont="1" applyAlignment="1">
      <alignment horizontal="center" vertical="center"/>
    </xf>
    <xf numFmtId="0" fontId="148" fillId="0" borderId="8" xfId="3" applyFont="1" applyBorder="1" applyAlignment="1">
      <alignment horizontal="center" vertical="center"/>
    </xf>
    <xf numFmtId="0" fontId="147" fillId="0" borderId="8" xfId="3" applyFont="1" applyBorder="1" applyAlignment="1">
      <alignment horizontal="center" vertical="center"/>
    </xf>
    <xf numFmtId="0" fontId="42" fillId="35" borderId="30" xfId="4" applyFont="1" applyFill="1" applyBorder="1" applyAlignment="1" applyProtection="1">
      <alignment horizontal="center" vertical="center"/>
      <protection locked="0"/>
    </xf>
    <xf numFmtId="0" fontId="55" fillId="22" borderId="48" xfId="0" applyFont="1" applyFill="1" applyBorder="1" applyAlignment="1">
      <alignment horizontal="center" vertical="center"/>
    </xf>
    <xf numFmtId="0" fontId="6" fillId="10" borderId="6" xfId="0" applyFont="1" applyFill="1" applyBorder="1" applyAlignment="1" applyProtection="1">
      <alignment horizontal="center" vertical="center"/>
      <protection locked="0" hidden="1"/>
    </xf>
    <xf numFmtId="0" fontId="6" fillId="11" borderId="4" xfId="0" applyFont="1" applyFill="1" applyBorder="1" applyAlignment="1" applyProtection="1">
      <alignment horizontal="center" vertical="center"/>
      <protection locked="0" hidden="1"/>
    </xf>
    <xf numFmtId="0" fontId="6" fillId="10" borderId="4" xfId="0" applyFont="1" applyFill="1" applyBorder="1" applyAlignment="1" applyProtection="1">
      <alignment horizontal="center" vertical="center"/>
      <protection locked="0" hidden="1"/>
    </xf>
    <xf numFmtId="0" fontId="6" fillId="14" borderId="5" xfId="0" applyFont="1" applyFill="1" applyBorder="1" applyAlignment="1" applyProtection="1">
      <alignment horizontal="center" vertical="center"/>
      <protection locked="0" hidden="1"/>
    </xf>
    <xf numFmtId="0" fontId="6" fillId="14" borderId="1" xfId="0" applyFont="1" applyFill="1" applyBorder="1" applyAlignment="1" applyProtection="1">
      <alignment horizontal="center" vertical="center"/>
      <protection locked="0" hidden="1"/>
    </xf>
    <xf numFmtId="0" fontId="6" fillId="14" borderId="2" xfId="0" applyFont="1" applyFill="1" applyBorder="1" applyAlignment="1" applyProtection="1">
      <alignment horizontal="center" vertical="center"/>
      <protection locked="0" hidden="1"/>
    </xf>
    <xf numFmtId="0" fontId="6" fillId="14" borderId="37" xfId="0" applyFont="1" applyFill="1" applyBorder="1" applyAlignment="1" applyProtection="1">
      <alignment horizontal="center" vertical="center"/>
      <protection locked="0" hidden="1"/>
    </xf>
    <xf numFmtId="0" fontId="6" fillId="10" borderId="1" xfId="0" applyFont="1" applyFill="1" applyBorder="1" applyAlignment="1" applyProtection="1">
      <alignment horizontal="center" vertical="center"/>
      <protection locked="0" hidden="1"/>
    </xf>
    <xf numFmtId="0" fontId="6" fillId="11" borderId="2" xfId="0" applyFont="1" applyFill="1" applyBorder="1" applyAlignment="1" applyProtection="1">
      <alignment horizontal="center" vertical="center"/>
      <protection locked="0" hidden="1"/>
    </xf>
    <xf numFmtId="0" fontId="6" fillId="10" borderId="2" xfId="0" applyFont="1" applyFill="1" applyBorder="1" applyAlignment="1" applyProtection="1">
      <alignment horizontal="center" vertical="center"/>
      <protection locked="0" hidden="1"/>
    </xf>
    <xf numFmtId="0" fontId="6" fillId="14" borderId="3" xfId="0" applyFont="1" applyFill="1" applyBorder="1" applyAlignment="1" applyProtection="1">
      <alignment horizontal="center" vertical="center"/>
      <protection locked="0" hidden="1"/>
    </xf>
    <xf numFmtId="0" fontId="133" fillId="35" borderId="51" xfId="4" applyFont="1" applyFill="1" applyBorder="1" applyAlignment="1">
      <alignment horizontal="center" vertical="center"/>
    </xf>
    <xf numFmtId="0" fontId="145" fillId="24" borderId="8" xfId="3" applyFont="1" applyFill="1" applyBorder="1" applyAlignment="1">
      <alignment horizontal="center" vertical="center"/>
    </xf>
    <xf numFmtId="0" fontId="145" fillId="24" borderId="8" xfId="3" applyFont="1" applyFill="1" applyBorder="1" applyAlignment="1">
      <alignment horizontal="center" vertical="center" wrapText="1"/>
    </xf>
    <xf numFmtId="0" fontId="147" fillId="36" borderId="8" xfId="3" applyFont="1" applyFill="1" applyBorder="1" applyAlignment="1" applyProtection="1">
      <alignment horizontal="center" vertical="center"/>
      <protection locked="0" hidden="1"/>
    </xf>
    <xf numFmtId="0" fontId="81" fillId="0" borderId="80" xfId="3" applyBorder="1"/>
    <xf numFmtId="0" fontId="81" fillId="0" borderId="81" xfId="3" applyBorder="1"/>
    <xf numFmtId="0" fontId="81" fillId="0" borderId="82" xfId="3" applyBorder="1"/>
    <xf numFmtId="0" fontId="81" fillId="0" borderId="83" xfId="3" applyBorder="1"/>
    <xf numFmtId="0" fontId="81" fillId="0" borderId="86" xfId="3" applyBorder="1"/>
    <xf numFmtId="0" fontId="81" fillId="0" borderId="84" xfId="3" applyBorder="1"/>
    <xf numFmtId="0" fontId="81" fillId="0" borderId="87" xfId="3" applyBorder="1"/>
    <xf numFmtId="0" fontId="81" fillId="0" borderId="85" xfId="3" applyBorder="1"/>
    <xf numFmtId="0" fontId="147" fillId="37" borderId="8" xfId="3" applyFont="1" applyFill="1" applyBorder="1" applyAlignment="1" applyProtection="1">
      <alignment horizontal="center" vertical="center"/>
      <protection locked="0" hidden="1"/>
    </xf>
    <xf numFmtId="0" fontId="56" fillId="22" borderId="51" xfId="0" applyFont="1" applyFill="1" applyBorder="1" applyAlignment="1" applyProtection="1">
      <alignment horizontal="center" vertical="center"/>
      <protection hidden="1"/>
    </xf>
    <xf numFmtId="166" fontId="22" fillId="7" borderId="30" xfId="0" applyNumberFormat="1" applyFont="1" applyFill="1" applyBorder="1" applyAlignment="1" applyProtection="1">
      <alignment horizontal="center" vertical="center" wrapText="1"/>
      <protection hidden="1"/>
    </xf>
    <xf numFmtId="1" fontId="149" fillId="7" borderId="30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" fillId="15" borderId="0" xfId="0" applyFont="1" applyFill="1" applyAlignment="1" applyProtection="1">
      <alignment wrapText="1"/>
      <protection hidden="1"/>
    </xf>
    <xf numFmtId="0" fontId="56" fillId="22" borderId="60" xfId="0" applyFont="1" applyFill="1" applyBorder="1" applyAlignment="1" applyProtection="1">
      <alignment horizontal="center" vertical="center"/>
      <protection hidden="1"/>
    </xf>
    <xf numFmtId="0" fontId="56" fillId="22" borderId="37" xfId="0" applyFont="1" applyFill="1" applyBorder="1" applyAlignment="1" applyProtection="1">
      <alignment horizontal="center" vertical="center"/>
      <protection hidden="1"/>
    </xf>
    <xf numFmtId="0" fontId="56" fillId="22" borderId="41" xfId="0" applyFont="1" applyFill="1" applyBorder="1" applyAlignment="1" applyProtection="1">
      <alignment horizontal="center" vertical="center"/>
      <protection hidden="1"/>
    </xf>
    <xf numFmtId="1" fontId="56" fillId="20" borderId="30" xfId="0" applyNumberFormat="1" applyFont="1" applyFill="1" applyBorder="1" applyAlignment="1" applyProtection="1">
      <alignment horizontal="center" vertical="center"/>
      <protection hidden="1"/>
    </xf>
    <xf numFmtId="1" fontId="62" fillId="16" borderId="31" xfId="0" applyNumberFormat="1" applyFont="1" applyFill="1" applyBorder="1" applyAlignment="1" applyProtection="1">
      <alignment horizontal="center" vertical="center"/>
      <protection hidden="1"/>
    </xf>
    <xf numFmtId="166" fontId="12" fillId="10" borderId="30" xfId="0" applyNumberFormat="1" applyFont="1" applyFill="1" applyBorder="1" applyAlignment="1" applyProtection="1">
      <alignment horizontal="center" vertical="center" wrapText="1"/>
      <protection hidden="1"/>
    </xf>
    <xf numFmtId="166" fontId="12" fillId="7" borderId="30" xfId="0" applyNumberFormat="1" applyFont="1" applyFill="1" applyBorder="1" applyAlignment="1" applyProtection="1">
      <alignment horizontal="center" vertical="center" wrapText="1"/>
      <protection hidden="1"/>
    </xf>
    <xf numFmtId="166" fontId="12" fillId="6" borderId="37" xfId="0" applyNumberFormat="1" applyFont="1" applyFill="1" applyBorder="1" applyAlignment="1" applyProtection="1">
      <alignment horizontal="center" vertical="center" wrapText="1"/>
      <protection hidden="1"/>
    </xf>
    <xf numFmtId="0" fontId="42" fillId="10" borderId="44" xfId="0" applyFont="1" applyFill="1" applyBorder="1" applyAlignment="1" applyProtection="1">
      <alignment horizontal="center" vertical="center" wrapText="1"/>
      <protection hidden="1"/>
    </xf>
    <xf numFmtId="0" fontId="42" fillId="11" borderId="44" xfId="0" applyFont="1" applyFill="1" applyBorder="1" applyAlignment="1" applyProtection="1">
      <alignment horizontal="center" vertical="center" wrapText="1"/>
      <protection hidden="1"/>
    </xf>
    <xf numFmtId="0" fontId="42" fillId="10" borderId="2" xfId="0" applyFont="1" applyFill="1" applyBorder="1" applyAlignment="1" applyProtection="1">
      <alignment horizontal="center" vertical="center" wrapText="1"/>
      <protection hidden="1"/>
    </xf>
    <xf numFmtId="0" fontId="42" fillId="11" borderId="2" xfId="0" applyFont="1" applyFill="1" applyBorder="1" applyAlignment="1" applyProtection="1">
      <alignment horizontal="center" vertical="center" wrapText="1"/>
      <protection hidden="1"/>
    </xf>
    <xf numFmtId="0" fontId="42" fillId="10" borderId="3" xfId="0" applyFont="1" applyFill="1" applyBorder="1" applyAlignment="1" applyProtection="1">
      <alignment horizontal="center" vertical="center" wrapText="1"/>
      <protection hidden="1"/>
    </xf>
    <xf numFmtId="1" fontId="62" fillId="16" borderId="41" xfId="0" applyNumberFormat="1" applyFont="1" applyFill="1" applyBorder="1" applyAlignment="1" applyProtection="1">
      <alignment horizontal="center" vertical="center"/>
      <protection hidden="1"/>
    </xf>
    <xf numFmtId="166" fontId="12" fillId="10" borderId="37" xfId="0" applyNumberFormat="1" applyFont="1" applyFill="1" applyBorder="1" applyAlignment="1" applyProtection="1">
      <alignment horizontal="center" vertical="center" wrapText="1"/>
      <protection hidden="1"/>
    </xf>
    <xf numFmtId="0" fontId="42" fillId="10" borderId="33" xfId="0" applyFont="1" applyFill="1" applyBorder="1" applyAlignment="1" applyProtection="1">
      <alignment horizontal="center" vertical="center" wrapText="1"/>
      <protection hidden="1"/>
    </xf>
    <xf numFmtId="0" fontId="42" fillId="10" borderId="61" xfId="0" applyFont="1" applyFill="1" applyBorder="1" applyAlignment="1" applyProtection="1">
      <alignment horizontal="center" vertical="center" wrapText="1"/>
      <protection hidden="1"/>
    </xf>
    <xf numFmtId="2" fontId="56" fillId="22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7" xfId="0" applyBorder="1" applyProtection="1">
      <protection hidden="1"/>
    </xf>
    <xf numFmtId="0" fontId="4" fillId="0" borderId="0" xfId="0" applyFont="1" applyAlignment="1">
      <alignment horizontal="center" vertical="center"/>
    </xf>
    <xf numFmtId="1" fontId="49" fillId="16" borderId="51" xfId="0" applyNumberFormat="1" applyFont="1" applyFill="1" applyBorder="1" applyAlignment="1" applyProtection="1">
      <alignment horizontal="center" vertical="center"/>
      <protection locked="0"/>
    </xf>
    <xf numFmtId="1" fontId="49" fillId="17" borderId="51" xfId="0" applyNumberFormat="1" applyFont="1" applyFill="1" applyBorder="1" applyAlignment="1" applyProtection="1">
      <alignment horizontal="center" vertical="center"/>
      <protection locked="0"/>
    </xf>
    <xf numFmtId="0" fontId="55" fillId="20" borderId="48" xfId="0" applyFont="1" applyFill="1" applyBorder="1" applyAlignment="1" applyProtection="1">
      <alignment horizontal="center" vertical="center" wrapText="1"/>
      <protection hidden="1"/>
    </xf>
    <xf numFmtId="0" fontId="151" fillId="20" borderId="30" xfId="0" applyFont="1" applyFill="1" applyBorder="1" applyAlignment="1" applyProtection="1">
      <alignment horizontal="center" vertical="center" wrapText="1"/>
      <protection hidden="1"/>
    </xf>
    <xf numFmtId="1" fontId="151" fillId="20" borderId="32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>
      <alignment horizontal="center" vertical="center"/>
    </xf>
    <xf numFmtId="0" fontId="6" fillId="15" borderId="38" xfId="0" applyFont="1" applyFill="1" applyBorder="1" applyAlignment="1" applyProtection="1">
      <alignment horizontal="center" vertical="center" wrapText="1"/>
      <protection hidden="1"/>
    </xf>
    <xf numFmtId="0" fontId="6" fillId="15" borderId="39" xfId="0" applyFont="1" applyFill="1" applyBorder="1" applyAlignment="1" applyProtection="1">
      <alignment horizontal="center" vertical="center" wrapText="1"/>
      <protection hidden="1"/>
    </xf>
    <xf numFmtId="0" fontId="56" fillId="22" borderId="31" xfId="0" applyFont="1" applyFill="1" applyBorder="1" applyAlignment="1" applyProtection="1">
      <alignment vertical="center"/>
      <protection hidden="1"/>
    </xf>
    <xf numFmtId="0" fontId="6" fillId="15" borderId="40" xfId="0" applyFont="1" applyFill="1" applyBorder="1" applyAlignment="1" applyProtection="1">
      <alignment horizontal="center" vertical="center" wrapText="1"/>
      <protection hidden="1"/>
    </xf>
    <xf numFmtId="1" fontId="152" fillId="17" borderId="30" xfId="0" applyNumberFormat="1" applyFont="1" applyFill="1" applyBorder="1" applyAlignment="1" applyProtection="1">
      <alignment horizontal="center" vertical="center"/>
      <protection locked="0"/>
    </xf>
    <xf numFmtId="1" fontId="49" fillId="17" borderId="48" xfId="0" applyNumberFormat="1" applyFont="1" applyFill="1" applyBorder="1" applyAlignment="1" applyProtection="1">
      <alignment horizontal="center" vertical="center"/>
      <protection locked="0"/>
    </xf>
    <xf numFmtId="1" fontId="55" fillId="20" borderId="53" xfId="0" applyNumberFormat="1" applyFont="1" applyFill="1" applyBorder="1" applyAlignment="1">
      <alignment horizontal="center" vertical="center"/>
    </xf>
    <xf numFmtId="1" fontId="55" fillId="20" borderId="48" xfId="0" applyNumberFormat="1" applyFont="1" applyFill="1" applyBorder="1" applyAlignment="1">
      <alignment horizontal="center" vertical="center"/>
    </xf>
    <xf numFmtId="1" fontId="55" fillId="20" borderId="28" xfId="0" applyNumberFormat="1" applyFont="1" applyFill="1" applyBorder="1" applyAlignment="1">
      <alignment horizontal="center" vertical="center" wrapText="1"/>
    </xf>
    <xf numFmtId="2" fontId="55" fillId="22" borderId="28" xfId="0" applyNumberFormat="1" applyFont="1" applyFill="1" applyBorder="1" applyAlignment="1">
      <alignment horizontal="center" vertical="center" wrapText="1"/>
    </xf>
    <xf numFmtId="165" fontId="55" fillId="22" borderId="48" xfId="0" applyNumberFormat="1" applyFont="1" applyFill="1" applyBorder="1" applyAlignment="1">
      <alignment horizontal="center" vertical="center"/>
    </xf>
    <xf numFmtId="0" fontId="55" fillId="22" borderId="53" xfId="0" applyFont="1" applyFill="1" applyBorder="1" applyAlignment="1">
      <alignment horizontal="center" vertical="center"/>
    </xf>
    <xf numFmtId="0" fontId="0" fillId="0" borderId="28" xfId="0" applyBorder="1" applyProtection="1">
      <protection hidden="1"/>
    </xf>
    <xf numFmtId="0" fontId="6" fillId="10" borderId="1" xfId="0" applyFont="1" applyFill="1" applyBorder="1" applyAlignment="1" applyProtection="1">
      <alignment horizontal="center" vertical="center" wrapText="1"/>
      <protection hidden="1"/>
    </xf>
    <xf numFmtId="2" fontId="6" fillId="10" borderId="43" xfId="0" applyNumberFormat="1" applyFont="1" applyFill="1" applyBorder="1" applyAlignment="1" applyProtection="1">
      <alignment horizontal="center" vertical="center" wrapText="1"/>
      <protection hidden="1"/>
    </xf>
    <xf numFmtId="1" fontId="152" fillId="16" borderId="37" xfId="0" applyNumberFormat="1" applyFont="1" applyFill="1" applyBorder="1" applyAlignment="1" applyProtection="1">
      <alignment horizontal="center" vertical="center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hidden="1"/>
    </xf>
    <xf numFmtId="0" fontId="19" fillId="6" borderId="47" xfId="0" applyFont="1" applyFill="1" applyBorder="1" applyAlignment="1" applyProtection="1">
      <alignment horizontal="center" vertical="center"/>
      <protection hidden="1"/>
    </xf>
    <xf numFmtId="0" fontId="56" fillId="20" borderId="58" xfId="0" applyFont="1" applyFill="1" applyBorder="1" applyAlignment="1" applyProtection="1">
      <alignment horizontal="center" vertical="center"/>
      <protection hidden="1"/>
    </xf>
    <xf numFmtId="0" fontId="56" fillId="20" borderId="58" xfId="0" applyFont="1" applyFill="1" applyBorder="1" applyAlignment="1" applyProtection="1">
      <alignment horizontal="center" vertical="center" wrapText="1"/>
      <protection hidden="1"/>
    </xf>
    <xf numFmtId="166" fontId="56" fillId="22" borderId="58" xfId="0" applyNumberFormat="1" applyFont="1" applyFill="1" applyBorder="1" applyAlignment="1" applyProtection="1">
      <alignment horizontal="center" vertical="center"/>
      <protection hidden="1"/>
    </xf>
    <xf numFmtId="0" fontId="50" fillId="16" borderId="30" xfId="0" applyFont="1" applyFill="1" applyBorder="1" applyAlignment="1" applyProtection="1">
      <alignment horizontal="center" vertical="center"/>
      <protection locked="0"/>
    </xf>
    <xf numFmtId="1" fontId="62" fillId="16" borderId="32" xfId="0" applyNumberFormat="1" applyFont="1" applyFill="1" applyBorder="1" applyAlignment="1" applyProtection="1">
      <alignment horizontal="center" vertical="center"/>
      <protection locked="0"/>
    </xf>
    <xf numFmtId="1" fontId="62" fillId="16" borderId="30" xfId="0" applyNumberFormat="1" applyFont="1" applyFill="1" applyBorder="1" applyAlignment="1" applyProtection="1">
      <alignment horizontal="center" vertical="center"/>
      <protection locked="0"/>
    </xf>
    <xf numFmtId="166" fontId="18" fillId="10" borderId="32" xfId="0" applyNumberFormat="1" applyFont="1" applyFill="1" applyBorder="1" applyAlignment="1" applyProtection="1">
      <alignment horizontal="center" vertical="center" wrapText="1"/>
      <protection hidden="1"/>
    </xf>
    <xf numFmtId="1" fontId="62" fillId="19" borderId="30" xfId="0" applyNumberFormat="1" applyFont="1" applyFill="1" applyBorder="1" applyAlignment="1" applyProtection="1">
      <alignment horizontal="center" vertical="center"/>
      <protection locked="0"/>
    </xf>
    <xf numFmtId="0" fontId="50" fillId="19" borderId="48" xfId="0" applyFont="1" applyFill="1" applyBorder="1" applyAlignment="1" applyProtection="1">
      <alignment horizontal="center" vertical="center"/>
      <protection locked="0"/>
    </xf>
    <xf numFmtId="1" fontId="62" fillId="19" borderId="0" xfId="0" applyNumberFormat="1" applyFont="1" applyFill="1" applyAlignment="1" applyProtection="1">
      <alignment horizontal="center" vertical="center"/>
      <protection locked="0"/>
    </xf>
    <xf numFmtId="1" fontId="62" fillId="19" borderId="48" xfId="0" applyNumberFormat="1" applyFont="1" applyFill="1" applyBorder="1" applyAlignment="1" applyProtection="1">
      <alignment horizontal="center" vertical="center"/>
      <protection locked="0"/>
    </xf>
    <xf numFmtId="1" fontId="46" fillId="11" borderId="0" xfId="0" applyNumberFormat="1" applyFont="1" applyFill="1" applyAlignment="1" applyProtection="1">
      <alignment horizontal="center" vertical="center"/>
      <protection hidden="1"/>
    </xf>
    <xf numFmtId="166" fontId="18" fillId="10" borderId="30" xfId="0" applyNumberFormat="1" applyFont="1" applyFill="1" applyBorder="1" applyAlignment="1" applyProtection="1">
      <alignment horizontal="center" vertical="center" wrapText="1"/>
      <protection hidden="1"/>
    </xf>
    <xf numFmtId="0" fontId="50" fillId="16" borderId="31" xfId="0" applyFont="1" applyFill="1" applyBorder="1" applyAlignment="1" applyProtection="1">
      <alignment horizontal="center" vertical="center"/>
      <protection locked="0"/>
    </xf>
    <xf numFmtId="1" fontId="46" fillId="10" borderId="32" xfId="0" applyNumberFormat="1" applyFont="1" applyFill="1" applyBorder="1" applyAlignment="1" applyProtection="1">
      <alignment horizontal="center" vertical="center"/>
      <protection hidden="1"/>
    </xf>
    <xf numFmtId="166" fontId="18" fillId="11" borderId="30" xfId="0" applyNumberFormat="1" applyFont="1" applyFill="1" applyBorder="1" applyAlignment="1" applyProtection="1">
      <alignment horizontal="center" vertical="center" wrapText="1"/>
      <protection hidden="1"/>
    </xf>
    <xf numFmtId="1" fontId="46" fillId="11" borderId="32" xfId="0" applyNumberFormat="1" applyFont="1" applyFill="1" applyBorder="1" applyAlignment="1" applyProtection="1">
      <alignment horizontal="center" vertical="center"/>
      <protection hidden="1"/>
    </xf>
    <xf numFmtId="0" fontId="152" fillId="16" borderId="30" xfId="0" applyFont="1" applyFill="1" applyBorder="1" applyAlignment="1" applyProtection="1">
      <alignment horizontal="center" vertical="center"/>
      <protection locked="0"/>
    </xf>
    <xf numFmtId="0" fontId="152" fillId="19" borderId="48" xfId="0" applyFont="1" applyFill="1" applyBorder="1" applyAlignment="1" applyProtection="1">
      <alignment horizontal="center" vertical="center"/>
      <protection locked="0"/>
    </xf>
    <xf numFmtId="0" fontId="153" fillId="16" borderId="30" xfId="0" applyFont="1" applyFill="1" applyBorder="1" applyAlignment="1" applyProtection="1">
      <alignment horizontal="center" vertical="center"/>
      <protection locked="0"/>
    </xf>
    <xf numFmtId="0" fontId="153" fillId="19" borderId="48" xfId="0" applyFont="1" applyFill="1" applyBorder="1" applyAlignment="1" applyProtection="1">
      <alignment horizontal="center" vertical="center"/>
      <protection locked="0"/>
    </xf>
    <xf numFmtId="0" fontId="154" fillId="16" borderId="30" xfId="0" applyFont="1" applyFill="1" applyBorder="1" applyAlignment="1" applyProtection="1">
      <alignment horizontal="center" vertical="center"/>
      <protection locked="0"/>
    </xf>
    <xf numFmtId="0" fontId="154" fillId="19" borderId="48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38" fillId="0" borderId="0" xfId="0" applyFont="1" applyAlignment="1">
      <alignment horizontal="right" vertical="center" textRotation="90" wrapText="1"/>
    </xf>
    <xf numFmtId="0" fontId="8" fillId="0" borderId="0" xfId="0" applyFont="1" applyAlignment="1">
      <alignment horizontal="right" textRotation="90" wrapText="1"/>
    </xf>
    <xf numFmtId="0" fontId="156" fillId="15" borderId="0" xfId="0" applyFont="1" applyFill="1" applyAlignment="1">
      <alignment horizontal="right" vertical="center" textRotation="90" wrapText="1"/>
    </xf>
    <xf numFmtId="0" fontId="155" fillId="0" borderId="0" xfId="0" applyFont="1"/>
    <xf numFmtId="0" fontId="27" fillId="15" borderId="0" xfId="0" applyFont="1" applyFill="1" applyAlignment="1">
      <alignment horizontal="center" wrapText="1"/>
    </xf>
    <xf numFmtId="0" fontId="4" fillId="0" borderId="35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68" xfId="0" applyFont="1" applyBorder="1" applyAlignment="1">
      <alignment wrapText="1"/>
    </xf>
    <xf numFmtId="0" fontId="4" fillId="0" borderId="1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7" fillId="0" borderId="0" xfId="1"/>
    <xf numFmtId="0" fontId="74" fillId="15" borderId="0" xfId="1" applyFont="1" applyFill="1" applyAlignment="1" applyProtection="1">
      <alignment horizontal="center" vertical="center"/>
      <protection hidden="1"/>
    </xf>
    <xf numFmtId="0" fontId="7" fillId="0" borderId="0" xfId="1" applyProtection="1">
      <protection hidden="1"/>
    </xf>
    <xf numFmtId="0" fontId="56" fillId="22" borderId="45" xfId="1" applyFont="1" applyFill="1" applyBorder="1" applyAlignment="1" applyProtection="1">
      <alignment vertical="center"/>
      <protection hidden="1"/>
    </xf>
    <xf numFmtId="1" fontId="56" fillId="20" borderId="48" xfId="1" applyNumberFormat="1" applyFont="1" applyFill="1" applyBorder="1" applyAlignment="1" applyProtection="1">
      <alignment horizontal="center" vertical="center" wrapText="1"/>
      <protection hidden="1"/>
    </xf>
    <xf numFmtId="1" fontId="56" fillId="20" borderId="48" xfId="1" applyNumberFormat="1" applyFont="1" applyFill="1" applyBorder="1" applyAlignment="1" applyProtection="1">
      <alignment horizontal="center" vertical="center"/>
      <protection hidden="1"/>
    </xf>
    <xf numFmtId="2" fontId="55" fillId="20" borderId="31" xfId="1" applyNumberFormat="1" applyFont="1" applyFill="1" applyBorder="1" applyAlignment="1" applyProtection="1">
      <alignment horizontal="center" vertical="center" wrapText="1"/>
      <protection hidden="1"/>
    </xf>
    <xf numFmtId="2" fontId="56" fillId="22" borderId="3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45" xfId="1" applyBorder="1" applyProtection="1">
      <protection hidden="1"/>
    </xf>
    <xf numFmtId="0" fontId="7" fillId="0" borderId="53" xfId="1" applyBorder="1" applyProtection="1">
      <protection hidden="1"/>
    </xf>
    <xf numFmtId="0" fontId="19" fillId="6" borderId="30" xfId="1" applyFont="1" applyFill="1" applyBorder="1" applyAlignment="1" applyProtection="1">
      <alignment vertical="center" wrapText="1"/>
      <protection hidden="1"/>
    </xf>
    <xf numFmtId="1" fontId="152" fillId="16" borderId="51" xfId="1" applyNumberFormat="1" applyFont="1" applyFill="1" applyBorder="1" applyAlignment="1" applyProtection="1">
      <alignment horizontal="center" vertical="center"/>
      <protection locked="0" hidden="1"/>
    </xf>
    <xf numFmtId="1" fontId="63" fillId="16" borderId="51" xfId="1" applyNumberFormat="1" applyFont="1" applyFill="1" applyBorder="1" applyAlignment="1" applyProtection="1">
      <alignment horizontal="center" vertical="center"/>
      <protection locked="0" hidden="1"/>
    </xf>
    <xf numFmtId="1" fontId="68" fillId="16" borderId="30" xfId="1" applyNumberFormat="1" applyFont="1" applyFill="1" applyBorder="1" applyAlignment="1" applyProtection="1">
      <alignment horizontal="center" vertical="center"/>
      <protection locked="0" hidden="1"/>
    </xf>
    <xf numFmtId="1" fontId="131" fillId="16" borderId="31" xfId="1" applyNumberFormat="1" applyFont="1" applyFill="1" applyBorder="1" applyAlignment="1" applyProtection="1">
      <alignment horizontal="center" vertical="center"/>
      <protection locked="0" hidden="1"/>
    </xf>
    <xf numFmtId="0" fontId="17" fillId="0" borderId="46" xfId="1" applyFont="1" applyBorder="1" applyProtection="1">
      <protection hidden="1"/>
    </xf>
    <xf numFmtId="0" fontId="17" fillId="0" borderId="64" xfId="1" applyFont="1" applyBorder="1" applyProtection="1">
      <protection hidden="1"/>
    </xf>
    <xf numFmtId="0" fontId="8" fillId="7" borderId="31" xfId="1" applyFont="1" applyFill="1" applyBorder="1" applyAlignment="1" applyProtection="1">
      <alignment vertical="center" wrapText="1"/>
      <protection hidden="1"/>
    </xf>
    <xf numFmtId="1" fontId="152" fillId="19" borderId="30" xfId="1" applyNumberFormat="1" applyFont="1" applyFill="1" applyBorder="1" applyAlignment="1" applyProtection="1">
      <alignment horizontal="center" vertical="center"/>
      <protection locked="0" hidden="1"/>
    </xf>
    <xf numFmtId="1" fontId="63" fillId="19" borderId="30" xfId="1" applyNumberFormat="1" applyFont="1" applyFill="1" applyBorder="1" applyAlignment="1" applyProtection="1">
      <alignment horizontal="center" vertical="center"/>
      <protection locked="0" hidden="1"/>
    </xf>
    <xf numFmtId="1" fontId="68" fillId="19" borderId="34" xfId="1" applyNumberFormat="1" applyFont="1" applyFill="1" applyBorder="1" applyAlignment="1" applyProtection="1">
      <alignment horizontal="center" vertical="center"/>
      <protection locked="0" hidden="1"/>
    </xf>
    <xf numFmtId="0" fontId="7" fillId="0" borderId="46" xfId="1" applyBorder="1" applyProtection="1">
      <protection hidden="1"/>
    </xf>
    <xf numFmtId="0" fontId="7" fillId="0" borderId="64" xfId="1" applyBorder="1" applyProtection="1">
      <protection hidden="1"/>
    </xf>
    <xf numFmtId="1" fontId="63" fillId="16" borderId="30" xfId="1" applyNumberFormat="1" applyFont="1" applyFill="1" applyBorder="1" applyAlignment="1" applyProtection="1">
      <alignment horizontal="center" vertical="center"/>
      <protection locked="0" hidden="1"/>
    </xf>
    <xf numFmtId="0" fontId="7" fillId="0" borderId="41" xfId="1" applyBorder="1" applyProtection="1">
      <protection hidden="1"/>
    </xf>
    <xf numFmtId="0" fontId="7" fillId="0" borderId="60" xfId="1" applyBorder="1" applyProtection="1">
      <protection hidden="1"/>
    </xf>
    <xf numFmtId="0" fontId="127" fillId="15" borderId="0" xfId="1" applyFont="1" applyFill="1" applyProtection="1">
      <protection hidden="1"/>
    </xf>
    <xf numFmtId="0" fontId="11" fillId="0" borderId="0" xfId="1" applyFont="1" applyProtection="1">
      <protection hidden="1"/>
    </xf>
    <xf numFmtId="0" fontId="65" fillId="22" borderId="30" xfId="1" applyFont="1" applyFill="1" applyBorder="1" applyAlignment="1" applyProtection="1">
      <alignment horizontal="center" vertical="center" wrapText="1"/>
      <protection hidden="1"/>
    </xf>
    <xf numFmtId="0" fontId="65" fillId="22" borderId="60" xfId="1" applyFont="1" applyFill="1" applyBorder="1" applyAlignment="1" applyProtection="1">
      <alignment horizontal="center" vertical="center" wrapText="1"/>
      <protection hidden="1"/>
    </xf>
    <xf numFmtId="0" fontId="65" fillId="22" borderId="50" xfId="1" applyFont="1" applyFill="1" applyBorder="1" applyAlignment="1" applyProtection="1">
      <alignment horizontal="center" vertical="center" wrapText="1"/>
      <protection hidden="1"/>
    </xf>
    <xf numFmtId="0" fontId="65" fillId="22" borderId="62" xfId="1" applyFont="1" applyFill="1" applyBorder="1" applyAlignment="1" applyProtection="1">
      <alignment horizontal="center" vertical="center" wrapText="1"/>
      <protection hidden="1"/>
    </xf>
    <xf numFmtId="0" fontId="65" fillId="22" borderId="63" xfId="1" applyFont="1" applyFill="1" applyBorder="1" applyAlignment="1" applyProtection="1">
      <alignment horizontal="center" vertical="center" wrapText="1"/>
      <protection hidden="1"/>
    </xf>
    <xf numFmtId="0" fontId="7" fillId="0" borderId="8" xfId="1" applyBorder="1" applyAlignment="1">
      <alignment horizontal="center" vertical="center"/>
    </xf>
    <xf numFmtId="0" fontId="158" fillId="0" borderId="0" xfId="1" applyFont="1" applyAlignment="1">
      <alignment horizontal="center" vertical="center"/>
    </xf>
    <xf numFmtId="0" fontId="42" fillId="18" borderId="27" xfId="1" applyFont="1" applyFill="1" applyBorder="1" applyAlignment="1" applyProtection="1">
      <alignment horizontal="center" vertical="center"/>
      <protection hidden="1"/>
    </xf>
    <xf numFmtId="0" fontId="7" fillId="18" borderId="33" xfId="1" applyFill="1" applyBorder="1" applyAlignment="1" applyProtection="1">
      <alignment horizontal="center" vertical="center"/>
      <protection hidden="1"/>
    </xf>
    <xf numFmtId="0" fontId="7" fillId="18" borderId="61" xfId="1" applyFill="1" applyBorder="1" applyAlignment="1" applyProtection="1">
      <alignment horizontal="center" vertical="center"/>
      <protection hidden="1"/>
    </xf>
    <xf numFmtId="0" fontId="7" fillId="0" borderId="25" xfId="1" applyBorder="1" applyAlignment="1" applyProtection="1">
      <alignment horizontal="center" vertical="center"/>
      <protection hidden="1"/>
    </xf>
    <xf numFmtId="0" fontId="7" fillId="0" borderId="47" xfId="1" applyBorder="1" applyAlignment="1" applyProtection="1">
      <alignment horizontal="center" vertical="center"/>
      <protection hidden="1"/>
    </xf>
    <xf numFmtId="0" fontId="7" fillId="0" borderId="26" xfId="1" applyBorder="1" applyAlignment="1" applyProtection="1">
      <alignment horizontal="center" vertical="center"/>
      <protection hidden="1"/>
    </xf>
    <xf numFmtId="0" fontId="42" fillId="25" borderId="4" xfId="1" applyFont="1" applyFill="1" applyBorder="1" applyAlignment="1" applyProtection="1">
      <alignment horizontal="center" vertical="center"/>
      <protection hidden="1"/>
    </xf>
    <xf numFmtId="0" fontId="7" fillId="0" borderId="2" xfId="1" applyBorder="1" applyAlignment="1" applyProtection="1">
      <alignment horizontal="center" vertical="center"/>
      <protection hidden="1"/>
    </xf>
    <xf numFmtId="0" fontId="7" fillId="0" borderId="44" xfId="1" applyBorder="1" applyAlignment="1" applyProtection="1">
      <alignment horizontal="center" vertical="center"/>
      <protection hidden="1"/>
    </xf>
    <xf numFmtId="0" fontId="42" fillId="25" borderId="39" xfId="1" applyFont="1" applyFill="1" applyBorder="1" applyAlignment="1" applyProtection="1">
      <alignment horizontal="center" vertical="center"/>
      <protection hidden="1"/>
    </xf>
    <xf numFmtId="0" fontId="7" fillId="0" borderId="11" xfId="1" applyBorder="1" applyAlignment="1" applyProtection="1">
      <alignment horizontal="center" vertical="center"/>
      <protection hidden="1"/>
    </xf>
    <xf numFmtId="0" fontId="7" fillId="0" borderId="8" xfId="1" applyBorder="1" applyAlignment="1" applyProtection="1">
      <alignment horizontal="center" vertical="center"/>
      <protection hidden="1"/>
    </xf>
    <xf numFmtId="0" fontId="7" fillId="0" borderId="12" xfId="1" applyBorder="1" applyAlignment="1" applyProtection="1">
      <alignment horizontal="center" vertical="center"/>
      <protection hidden="1"/>
    </xf>
    <xf numFmtId="0" fontId="42" fillId="25" borderId="23" xfId="1" applyFont="1" applyFill="1" applyBorder="1" applyAlignment="1" applyProtection="1">
      <alignment horizontal="center" vertical="center"/>
      <protection hidden="1"/>
    </xf>
    <xf numFmtId="0" fontId="42" fillId="18" borderId="39" xfId="1" applyFont="1" applyFill="1" applyBorder="1" applyAlignment="1" applyProtection="1">
      <alignment horizontal="center" vertical="center"/>
      <protection hidden="1"/>
    </xf>
    <xf numFmtId="0" fontId="7" fillId="18" borderId="11" xfId="1" applyFill="1" applyBorder="1" applyAlignment="1" applyProtection="1">
      <alignment horizontal="center" vertical="center"/>
      <protection hidden="1"/>
    </xf>
    <xf numFmtId="0" fontId="7" fillId="18" borderId="8" xfId="1" applyFill="1" applyBorder="1" applyAlignment="1" applyProtection="1">
      <alignment horizontal="center" vertical="center"/>
      <protection hidden="1"/>
    </xf>
    <xf numFmtId="0" fontId="7" fillId="18" borderId="12" xfId="1" applyFill="1" applyBorder="1" applyAlignment="1" applyProtection="1">
      <alignment horizontal="center" vertical="center"/>
      <protection hidden="1"/>
    </xf>
    <xf numFmtId="0" fontId="42" fillId="18" borderId="23" xfId="1" applyFont="1" applyFill="1" applyBorder="1" applyAlignment="1" applyProtection="1">
      <alignment horizontal="center" vertical="center"/>
      <protection hidden="1"/>
    </xf>
    <xf numFmtId="0" fontId="42" fillId="18" borderId="4" xfId="1" applyFont="1" applyFill="1" applyBorder="1" applyAlignment="1" applyProtection="1">
      <alignment horizontal="center" vertical="center"/>
      <protection hidden="1"/>
    </xf>
    <xf numFmtId="0" fontId="7" fillId="18" borderId="2" xfId="1" applyFill="1" applyBorder="1" applyAlignment="1" applyProtection="1">
      <alignment horizontal="center" vertical="center"/>
      <protection hidden="1"/>
    </xf>
    <xf numFmtId="0" fontId="7" fillId="18" borderId="44" xfId="1" applyFill="1" applyBorder="1" applyAlignment="1" applyProtection="1">
      <alignment horizontal="center" vertical="center"/>
      <protection hidden="1"/>
    </xf>
    <xf numFmtId="0" fontId="7" fillId="25" borderId="23" xfId="1" applyFill="1" applyBorder="1" applyAlignment="1" applyProtection="1">
      <alignment horizontal="center" vertical="center"/>
      <protection hidden="1"/>
    </xf>
    <xf numFmtId="0" fontId="7" fillId="25" borderId="8" xfId="1" applyFill="1" applyBorder="1" applyAlignment="1" applyProtection="1">
      <alignment horizontal="center" vertical="center"/>
      <protection hidden="1"/>
    </xf>
    <xf numFmtId="0" fontId="7" fillId="25" borderId="12" xfId="1" applyFill="1" applyBorder="1" applyAlignment="1" applyProtection="1">
      <alignment horizontal="center" vertical="center"/>
      <protection hidden="1"/>
    </xf>
    <xf numFmtId="0" fontId="7" fillId="25" borderId="39" xfId="1" applyFill="1" applyBorder="1" applyAlignment="1" applyProtection="1">
      <alignment horizontal="center" vertical="center"/>
      <protection hidden="1"/>
    </xf>
    <xf numFmtId="0" fontId="7" fillId="25" borderId="11" xfId="1" applyFill="1" applyBorder="1" applyAlignment="1" applyProtection="1">
      <alignment horizontal="center" vertical="center"/>
      <protection hidden="1"/>
    </xf>
    <xf numFmtId="0" fontId="42" fillId="25" borderId="5" xfId="1" applyFont="1" applyFill="1" applyBorder="1" applyAlignment="1" applyProtection="1">
      <alignment horizontal="center" vertical="center"/>
      <protection hidden="1"/>
    </xf>
    <xf numFmtId="0" fontId="7" fillId="0" borderId="3" xfId="1" applyBorder="1" applyAlignment="1" applyProtection="1">
      <alignment horizontal="center" vertical="center"/>
      <protection hidden="1"/>
    </xf>
    <xf numFmtId="0" fontId="7" fillId="0" borderId="42" xfId="1" applyBorder="1" applyAlignment="1" applyProtection="1">
      <alignment horizontal="center" vertical="center"/>
      <protection hidden="1"/>
    </xf>
    <xf numFmtId="0" fontId="7" fillId="25" borderId="40" xfId="1" applyFill="1" applyBorder="1" applyAlignment="1" applyProtection="1">
      <alignment horizontal="center" vertical="center"/>
      <protection hidden="1"/>
    </xf>
    <xf numFmtId="0" fontId="7" fillId="25" borderId="13" xfId="1" applyFill="1" applyBorder="1" applyAlignment="1" applyProtection="1">
      <alignment horizontal="center" vertical="center"/>
      <protection hidden="1"/>
    </xf>
    <xf numFmtId="0" fontId="7" fillId="25" borderId="14" xfId="1" applyFill="1" applyBorder="1" applyAlignment="1" applyProtection="1">
      <alignment horizontal="center" vertical="center"/>
      <protection hidden="1"/>
    </xf>
    <xf numFmtId="0" fontId="7" fillId="25" borderId="16" xfId="1" applyFill="1" applyBorder="1" applyAlignment="1" applyProtection="1">
      <alignment horizontal="center" vertical="center"/>
      <protection hidden="1"/>
    </xf>
    <xf numFmtId="0" fontId="7" fillId="25" borderId="24" xfId="1" applyFill="1" applyBorder="1" applyAlignment="1" applyProtection="1">
      <alignment horizontal="center" vertical="center"/>
      <protection hidden="1"/>
    </xf>
    <xf numFmtId="166" fontId="7" fillId="0" borderId="0" xfId="1" applyNumberFormat="1"/>
    <xf numFmtId="0" fontId="58" fillId="15" borderId="0" xfId="1" applyFont="1" applyFill="1" applyAlignment="1">
      <alignment horizontal="center" vertical="center"/>
    </xf>
    <xf numFmtId="0" fontId="7" fillId="0" borderId="30" xfId="1" applyBorder="1" applyAlignment="1">
      <alignment horizontal="center" vertical="center"/>
    </xf>
    <xf numFmtId="0" fontId="7" fillId="0" borderId="31" xfId="1" applyBorder="1" applyAlignment="1">
      <alignment horizontal="center" vertical="center"/>
    </xf>
    <xf numFmtId="0" fontId="7" fillId="0" borderId="12" xfId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7" fillId="15" borderId="8" xfId="1" applyFill="1" applyBorder="1" applyAlignment="1">
      <alignment horizontal="center" vertical="center"/>
    </xf>
    <xf numFmtId="0" fontId="7" fillId="15" borderId="14" xfId="1" applyFill="1" applyBorder="1" applyAlignment="1">
      <alignment horizontal="center" vertical="center"/>
    </xf>
    <xf numFmtId="0" fontId="7" fillId="0" borderId="16" xfId="1" applyBorder="1" applyAlignment="1">
      <alignment horizontal="center" vertical="center"/>
    </xf>
    <xf numFmtId="166" fontId="12" fillId="16" borderId="31" xfId="1" applyNumberFormat="1" applyFont="1" applyFill="1" applyBorder="1" applyAlignment="1" applyProtection="1">
      <alignment horizontal="center" vertical="center"/>
      <protection hidden="1"/>
    </xf>
    <xf numFmtId="166" fontId="12" fillId="19" borderId="31" xfId="1" applyNumberFormat="1" applyFont="1" applyFill="1" applyBorder="1" applyAlignment="1" applyProtection="1">
      <alignment horizontal="center" vertical="center"/>
      <protection hidden="1"/>
    </xf>
    <xf numFmtId="0" fontId="7" fillId="15" borderId="0" xfId="1" applyFill="1"/>
    <xf numFmtId="0" fontId="7" fillId="15" borderId="11" xfId="1" applyFill="1" applyBorder="1" applyAlignment="1" applyProtection="1">
      <alignment horizontal="center" vertical="center"/>
      <protection hidden="1"/>
    </xf>
    <xf numFmtId="0" fontId="42" fillId="20" borderId="39" xfId="1" applyFont="1" applyFill="1" applyBorder="1" applyAlignment="1" applyProtection="1">
      <alignment horizontal="center" vertical="center"/>
      <protection hidden="1"/>
    </xf>
    <xf numFmtId="0" fontId="42" fillId="20" borderId="38" xfId="1" applyFont="1" applyFill="1" applyBorder="1" applyAlignment="1" applyProtection="1">
      <alignment horizontal="center" vertical="center"/>
      <protection hidden="1"/>
    </xf>
    <xf numFmtId="0" fontId="42" fillId="20" borderId="4" xfId="1" applyFont="1" applyFill="1" applyBorder="1" applyAlignment="1" applyProtection="1">
      <alignment horizontal="center" vertical="center"/>
      <protection hidden="1"/>
    </xf>
    <xf numFmtId="0" fontId="42" fillId="20" borderId="57" xfId="1" applyFont="1" applyFill="1" applyBorder="1" applyAlignment="1" applyProtection="1">
      <alignment horizontal="center" vertical="center"/>
      <protection hidden="1"/>
    </xf>
    <xf numFmtId="0" fontId="42" fillId="20" borderId="23" xfId="1" applyFont="1" applyFill="1" applyBorder="1" applyAlignment="1" applyProtection="1">
      <alignment horizontal="center" vertical="center"/>
      <protection hidden="1"/>
    </xf>
    <xf numFmtId="0" fontId="127" fillId="0" borderId="0" xfId="1" applyFont="1"/>
    <xf numFmtId="0" fontId="7" fillId="0" borderId="0" xfId="1" applyAlignment="1">
      <alignment horizontal="center" vertical="center" wrapText="1"/>
    </xf>
    <xf numFmtId="0" fontId="4" fillId="6" borderId="0" xfId="0" applyFont="1" applyFill="1" applyAlignment="1">
      <alignment horizontal="center" wrapText="1"/>
    </xf>
    <xf numFmtId="0" fontId="13" fillId="0" borderId="0" xfId="0" applyFont="1" applyAlignment="1">
      <alignment vertical="center" wrapText="1"/>
    </xf>
    <xf numFmtId="1" fontId="61" fillId="20" borderId="30" xfId="0" applyNumberFormat="1" applyFont="1" applyFill="1" applyBorder="1" applyAlignment="1" applyProtection="1">
      <alignment horizontal="center" vertical="center"/>
      <protection locked="0"/>
    </xf>
    <xf numFmtId="0" fontId="7" fillId="15" borderId="0" xfId="0" applyFont="1" applyFill="1" applyAlignment="1">
      <alignment horizontal="center" vertical="center"/>
    </xf>
    <xf numFmtId="0" fontId="7" fillId="15" borderId="0" xfId="0" applyFont="1" applyFill="1"/>
    <xf numFmtId="0" fontId="4" fillId="0" borderId="0" xfId="0" applyFont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0" fillId="36" borderId="6" xfId="0" applyFill="1" applyBorder="1" applyAlignment="1">
      <alignment horizontal="center" vertical="center" wrapText="1"/>
    </xf>
    <xf numFmtId="0" fontId="19" fillId="36" borderId="36" xfId="0" applyFont="1" applyFill="1" applyBorder="1" applyAlignment="1">
      <alignment vertical="center"/>
    </xf>
    <xf numFmtId="0" fontId="0" fillId="36" borderId="36" xfId="0" applyFill="1" applyBorder="1" applyAlignment="1">
      <alignment horizontal="center" vertical="center" wrapText="1"/>
    </xf>
    <xf numFmtId="0" fontId="4" fillId="0" borderId="46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42" fillId="0" borderId="0" xfId="0" applyFont="1"/>
    <xf numFmtId="0" fontId="4" fillId="0" borderId="0" xfId="0" applyFont="1"/>
    <xf numFmtId="0" fontId="3" fillId="15" borderId="55" xfId="0" applyFont="1" applyFill="1" applyBorder="1" applyAlignment="1">
      <alignment horizontal="center" vertical="center"/>
    </xf>
    <xf numFmtId="165" fontId="0" fillId="15" borderId="55" xfId="0" applyNumberFormat="1" applyFill="1" applyBorder="1"/>
    <xf numFmtId="0" fontId="0" fillId="15" borderId="55" xfId="0" applyFill="1" applyBorder="1"/>
    <xf numFmtId="0" fontId="3" fillId="15" borderId="0" xfId="0" applyFont="1" applyFill="1" applyAlignment="1">
      <alignment horizontal="center" vertical="center"/>
    </xf>
    <xf numFmtId="165" fontId="0" fillId="15" borderId="0" xfId="0" applyNumberFormat="1" applyFill="1"/>
    <xf numFmtId="0" fontId="0" fillId="15" borderId="0" xfId="0" applyFill="1"/>
    <xf numFmtId="0" fontId="160" fillId="15" borderId="46" xfId="0" applyFont="1" applyFill="1" applyBorder="1" applyAlignment="1">
      <alignment horizontal="right" textRotation="90" wrapText="1"/>
    </xf>
    <xf numFmtId="0" fontId="161" fillId="15" borderId="46" xfId="0" applyFont="1" applyFill="1" applyBorder="1" applyAlignment="1">
      <alignment horizontal="right" textRotation="90" wrapText="1"/>
    </xf>
    <xf numFmtId="0" fontId="7" fillId="15" borderId="46" xfId="0" applyFont="1" applyFill="1" applyBorder="1"/>
    <xf numFmtId="0" fontId="4" fillId="15" borderId="46" xfId="0" applyFont="1" applyFill="1" applyBorder="1" applyAlignment="1">
      <alignment vertical="center"/>
    </xf>
    <xf numFmtId="0" fontId="4" fillId="15" borderId="0" xfId="0" applyFont="1" applyFill="1" applyAlignment="1">
      <alignment vertical="center"/>
    </xf>
    <xf numFmtId="0" fontId="4" fillId="15" borderId="41" xfId="0" applyFont="1" applyFill="1" applyBorder="1" applyAlignment="1">
      <alignment vertical="center"/>
    </xf>
    <xf numFmtId="0" fontId="4" fillId="15" borderId="29" xfId="0" applyFont="1" applyFill="1" applyBorder="1" applyAlignment="1">
      <alignment vertical="center"/>
    </xf>
    <xf numFmtId="165" fontId="0" fillId="15" borderId="29" xfId="0" applyNumberFormat="1" applyFill="1" applyBorder="1"/>
    <xf numFmtId="0" fontId="0" fillId="15" borderId="29" xfId="0" applyFill="1" applyBorder="1"/>
    <xf numFmtId="0" fontId="0" fillId="18" borderId="55" xfId="0" applyFill="1" applyBorder="1"/>
    <xf numFmtId="0" fontId="0" fillId="18" borderId="0" xfId="0" applyFill="1"/>
    <xf numFmtId="0" fontId="0" fillId="18" borderId="29" xfId="0" applyFill="1" applyBorder="1"/>
    <xf numFmtId="0" fontId="61" fillId="20" borderId="30" xfId="0" applyFont="1" applyFill="1" applyBorder="1" applyAlignment="1" applyProtection="1">
      <alignment horizontal="center" vertical="center"/>
      <protection locked="0"/>
    </xf>
    <xf numFmtId="0" fontId="55" fillId="22" borderId="68" xfId="0" applyFont="1" applyFill="1" applyBorder="1" applyAlignment="1">
      <alignment horizontal="center" vertical="center" wrapText="1"/>
    </xf>
    <xf numFmtId="0" fontId="150" fillId="16" borderId="48" xfId="0" applyFont="1" applyFill="1" applyBorder="1" applyAlignment="1" applyProtection="1">
      <alignment horizontal="center" vertical="center"/>
      <protection locked="0"/>
    </xf>
    <xf numFmtId="0" fontId="152" fillId="16" borderId="37" xfId="0" applyFont="1" applyFill="1" applyBorder="1" applyAlignment="1" applyProtection="1">
      <alignment horizontal="center" vertical="center"/>
      <protection locked="0"/>
    </xf>
    <xf numFmtId="0" fontId="152" fillId="19" borderId="30" xfId="0" applyFont="1" applyFill="1" applyBorder="1" applyAlignment="1" applyProtection="1">
      <alignment horizontal="center" vertical="center"/>
      <protection locked="0"/>
    </xf>
    <xf numFmtId="166" fontId="30" fillId="11" borderId="41" xfId="0" applyNumberFormat="1" applyFont="1" applyFill="1" applyBorder="1" applyAlignment="1" applyProtection="1">
      <alignment horizontal="center" vertical="center" wrapText="1"/>
      <protection hidden="1"/>
    </xf>
    <xf numFmtId="1" fontId="46" fillId="10" borderId="31" xfId="0" applyNumberFormat="1" applyFont="1" applyFill="1" applyBorder="1" applyAlignment="1" applyProtection="1">
      <alignment horizontal="center" vertical="center"/>
      <protection hidden="1"/>
    </xf>
    <xf numFmtId="0" fontId="56" fillId="22" borderId="68" xfId="0" applyFont="1" applyFill="1" applyBorder="1" applyAlignment="1" applyProtection="1">
      <alignment horizontal="center" vertical="center"/>
      <protection hidden="1"/>
    </xf>
    <xf numFmtId="166" fontId="18" fillId="11" borderId="48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45" xfId="0" applyFont="1" applyFill="1" applyBorder="1" applyAlignment="1" applyProtection="1">
      <alignment horizontal="left" vertical="center"/>
      <protection hidden="1"/>
    </xf>
    <xf numFmtId="0" fontId="50" fillId="19" borderId="34" xfId="0" applyFont="1" applyFill="1" applyBorder="1" applyAlignment="1" applyProtection="1">
      <alignment horizontal="center" vertical="center"/>
      <protection locked="0"/>
    </xf>
    <xf numFmtId="1" fontId="62" fillId="19" borderId="34" xfId="0" applyNumberFormat="1" applyFont="1" applyFill="1" applyBorder="1" applyAlignment="1" applyProtection="1">
      <alignment horizontal="center" vertical="center"/>
      <protection locked="0"/>
    </xf>
    <xf numFmtId="166" fontId="18" fillId="11" borderId="34" xfId="0" applyNumberFormat="1" applyFont="1" applyFill="1" applyBorder="1" applyAlignment="1" applyProtection="1">
      <alignment horizontal="center" vertical="center" wrapText="1"/>
      <protection hidden="1"/>
    </xf>
    <xf numFmtId="0" fontId="50" fillId="19" borderId="32" xfId="0" applyFont="1" applyFill="1" applyBorder="1" applyAlignment="1" applyProtection="1">
      <alignment horizontal="center" vertical="center"/>
      <protection locked="0"/>
    </xf>
    <xf numFmtId="1" fontId="62" fillId="19" borderId="32" xfId="0" applyNumberFormat="1" applyFont="1" applyFill="1" applyBorder="1" applyAlignment="1" applyProtection="1">
      <alignment horizontal="center" vertical="center"/>
      <protection locked="0"/>
    </xf>
    <xf numFmtId="0" fontId="137" fillId="35" borderId="51" xfId="4" applyFont="1" applyFill="1" applyBorder="1" applyAlignment="1" applyProtection="1">
      <alignment horizontal="center" vertical="center"/>
      <protection locked="0"/>
    </xf>
    <xf numFmtId="0" fontId="55" fillId="20" borderId="30" xfId="0" applyFont="1" applyFill="1" applyBorder="1" applyAlignment="1" applyProtection="1">
      <alignment horizontal="center" vertical="center" wrapText="1"/>
      <protection hidden="1"/>
    </xf>
    <xf numFmtId="0" fontId="81" fillId="0" borderId="21" xfId="3" applyBorder="1" applyProtection="1">
      <protection hidden="1"/>
    </xf>
    <xf numFmtId="0" fontId="81" fillId="0" borderId="55" xfId="3" applyBorder="1" applyProtection="1">
      <protection hidden="1"/>
    </xf>
    <xf numFmtId="0" fontId="54" fillId="15" borderId="0" xfId="0" applyFont="1" applyFill="1" applyAlignment="1">
      <alignment horizontal="center" vertical="center" wrapText="1"/>
    </xf>
    <xf numFmtId="0" fontId="0" fillId="15" borderId="0" xfId="0" applyFill="1" applyAlignment="1">
      <alignment wrapText="1"/>
    </xf>
    <xf numFmtId="0" fontId="1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57" xfId="0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 wrapText="1"/>
    </xf>
    <xf numFmtId="0" fontId="0" fillId="0" borderId="67" xfId="0" applyBorder="1" applyAlignment="1">
      <alignment vertical="center"/>
    </xf>
    <xf numFmtId="0" fontId="128" fillId="33" borderId="8" xfId="4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6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54" fillId="15" borderId="28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9" xfId="0" applyBorder="1" applyAlignment="1">
      <alignment vertical="center"/>
    </xf>
    <xf numFmtId="2" fontId="0" fillId="0" borderId="29" xfId="0" applyNumberForma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2" xfId="0" applyBorder="1" applyAlignment="1">
      <alignment vertical="center"/>
    </xf>
    <xf numFmtId="0" fontId="22" fillId="0" borderId="46" xfId="0" applyFont="1" applyBorder="1" applyAlignment="1">
      <alignment vertical="center"/>
    </xf>
    <xf numFmtId="2" fontId="17" fillId="0" borderId="46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58" fillId="15" borderId="0" xfId="0" applyFont="1" applyFill="1"/>
    <xf numFmtId="0" fontId="7" fillId="0" borderId="0" xfId="0" applyFont="1" applyProtection="1">
      <protection locked="0" hidden="1"/>
    </xf>
    <xf numFmtId="0" fontId="7" fillId="15" borderId="0" xfId="0" applyFont="1" applyFill="1" applyProtection="1">
      <protection locked="0" hidden="1"/>
    </xf>
    <xf numFmtId="0" fontId="164" fillId="0" borderId="93" xfId="0" applyFont="1" applyBorder="1" applyAlignment="1" applyProtection="1">
      <alignment horizontal="center" textRotation="90"/>
      <protection hidden="1"/>
    </xf>
    <xf numFmtId="166" fontId="164" fillId="0" borderId="93" xfId="0" applyNumberFormat="1" applyFont="1" applyBorder="1" applyAlignment="1" applyProtection="1">
      <alignment horizontal="center" vertical="center" textRotation="90"/>
      <protection hidden="1"/>
    </xf>
    <xf numFmtId="0" fontId="164" fillId="0" borderId="93" xfId="0" applyFont="1" applyBorder="1" applyAlignment="1" applyProtection="1">
      <alignment horizontal="center" vertical="top" textRotation="90"/>
      <protection hidden="1"/>
    </xf>
    <xf numFmtId="0" fontId="169" fillId="15" borderId="64" xfId="0" applyFont="1" applyFill="1" applyBorder="1" applyAlignment="1" applyProtection="1">
      <alignment horizontal="center"/>
      <protection hidden="1"/>
    </xf>
    <xf numFmtId="0" fontId="58" fillId="15" borderId="0" xfId="0" applyFont="1" applyFill="1" applyProtection="1">
      <protection locked="0" hidden="1"/>
    </xf>
    <xf numFmtId="0" fontId="58" fillId="15" borderId="0" xfId="0" applyFont="1" applyFill="1" applyAlignment="1" applyProtection="1">
      <alignment horizontal="center" vertical="center"/>
      <protection locked="0" hidden="1"/>
    </xf>
    <xf numFmtId="0" fontId="56" fillId="15" borderId="0" xfId="0" applyFont="1" applyFill="1" applyProtection="1">
      <protection locked="0" hidden="1"/>
    </xf>
    <xf numFmtId="0" fontId="17" fillId="4" borderId="7" xfId="0" applyFont="1" applyFill="1" applyBorder="1" applyProtection="1">
      <protection locked="0"/>
    </xf>
    <xf numFmtId="0" fontId="17" fillId="3" borderId="8" xfId="0" applyFont="1" applyFill="1" applyBorder="1"/>
    <xf numFmtId="0" fontId="17" fillId="3" borderId="9" xfId="0" applyFont="1" applyFill="1" applyBorder="1"/>
    <xf numFmtId="0" fontId="17" fillId="5" borderId="7" xfId="0" applyFont="1" applyFill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/>
    </xf>
    <xf numFmtId="0" fontId="17" fillId="4" borderId="11" xfId="0" applyFont="1" applyFill="1" applyBorder="1" applyProtection="1">
      <protection locked="0"/>
    </xf>
    <xf numFmtId="0" fontId="17" fillId="5" borderId="11" xfId="0" applyFont="1" applyFill="1" applyBorder="1" applyAlignment="1" applyProtection="1">
      <alignment horizontal="center"/>
      <protection locked="0"/>
    </xf>
    <xf numFmtId="0" fontId="17" fillId="0" borderId="12" xfId="0" applyFont="1" applyBorder="1" applyAlignment="1">
      <alignment horizontal="center"/>
    </xf>
    <xf numFmtId="0" fontId="17" fillId="4" borderId="13" xfId="0" applyFont="1" applyFill="1" applyBorder="1" applyProtection="1">
      <protection locked="0"/>
    </xf>
    <xf numFmtId="0" fontId="17" fillId="3" borderId="14" xfId="0" applyFont="1" applyFill="1" applyBorder="1"/>
    <xf numFmtId="0" fontId="17" fillId="3" borderId="15" xfId="0" applyFont="1" applyFill="1" applyBorder="1"/>
    <xf numFmtId="0" fontId="17" fillId="5" borderId="13" xfId="0" applyFont="1" applyFill="1" applyBorder="1" applyAlignment="1" applyProtection="1">
      <alignment horizontal="center"/>
      <protection locked="0"/>
    </xf>
    <xf numFmtId="0" fontId="17" fillId="0" borderId="16" xfId="0" applyFont="1" applyBorder="1" applyAlignment="1">
      <alignment horizontal="center"/>
    </xf>
    <xf numFmtId="0" fontId="10" fillId="4" borderId="7" xfId="0" applyFont="1" applyFill="1" applyBorder="1" applyProtection="1">
      <protection locked="0" hidden="1"/>
    </xf>
    <xf numFmtId="0" fontId="17" fillId="3" borderId="22" xfId="0" applyFont="1" applyFill="1" applyBorder="1" applyProtection="1">
      <protection hidden="1"/>
    </xf>
    <xf numFmtId="0" fontId="17" fillId="3" borderId="18" xfId="0" applyFont="1" applyFill="1" applyBorder="1" applyProtection="1">
      <protection hidden="1"/>
    </xf>
    <xf numFmtId="0" fontId="17" fillId="4" borderId="7" xfId="0" applyFont="1" applyFill="1" applyBorder="1" applyAlignment="1" applyProtection="1">
      <alignment horizontal="center" vertical="center"/>
      <protection locked="0" hidden="1"/>
    </xf>
    <xf numFmtId="0" fontId="17" fillId="4" borderId="10" xfId="0" applyFont="1" applyFill="1" applyBorder="1" applyAlignment="1" applyProtection="1">
      <alignment horizontal="center" vertical="center"/>
      <protection locked="0" hidden="1"/>
    </xf>
    <xf numFmtId="0" fontId="17" fillId="4" borderId="11" xfId="0" applyFont="1" applyFill="1" applyBorder="1" applyProtection="1">
      <protection locked="0" hidden="1"/>
    </xf>
    <xf numFmtId="0" fontId="17" fillId="3" borderId="23" xfId="0" applyFont="1" applyFill="1" applyBorder="1" applyProtection="1">
      <protection hidden="1"/>
    </xf>
    <xf numFmtId="0" fontId="17" fillId="3" borderId="9" xfId="0" applyFont="1" applyFill="1" applyBorder="1" applyProtection="1">
      <protection hidden="1"/>
    </xf>
    <xf numFmtId="0" fontId="17" fillId="0" borderId="11" xfId="0" applyFont="1" applyBorder="1" applyAlignment="1" applyProtection="1">
      <alignment horizontal="center"/>
      <protection hidden="1"/>
    </xf>
    <xf numFmtId="166" fontId="17" fillId="0" borderId="12" xfId="2" applyNumberFormat="1" applyFont="1" applyBorder="1" applyAlignment="1" applyProtection="1">
      <alignment horizontal="center" vertical="center"/>
      <protection hidden="1"/>
    </xf>
    <xf numFmtId="0" fontId="17" fillId="4" borderId="13" xfId="0" applyFont="1" applyFill="1" applyBorder="1" applyProtection="1">
      <protection locked="0" hidden="1"/>
    </xf>
    <xf numFmtId="0" fontId="17" fillId="3" borderId="24" xfId="0" applyFont="1" applyFill="1" applyBorder="1" applyProtection="1">
      <protection hidden="1"/>
    </xf>
    <xf numFmtId="0" fontId="17" fillId="3" borderId="15" xfId="0" applyFont="1" applyFill="1" applyBorder="1" applyProtection="1">
      <protection hidden="1"/>
    </xf>
    <xf numFmtId="0" fontId="17" fillId="0" borderId="13" xfId="0" applyFont="1" applyBorder="1" applyAlignment="1" applyProtection="1">
      <alignment horizontal="center"/>
      <protection hidden="1"/>
    </xf>
    <xf numFmtId="166" fontId="17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7" xfId="0" applyFont="1" applyBorder="1" applyProtection="1">
      <protection locked="0"/>
    </xf>
    <xf numFmtId="0" fontId="17" fillId="3" borderId="22" xfId="0" applyFont="1" applyFill="1" applyBorder="1"/>
    <xf numFmtId="0" fontId="17" fillId="3" borderId="18" xfId="0" applyFont="1" applyFill="1" applyBorder="1"/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6" borderId="11" xfId="0" applyFont="1" applyFill="1" applyBorder="1" applyProtection="1">
      <protection locked="0"/>
    </xf>
    <xf numFmtId="0" fontId="17" fillId="6" borderId="11" xfId="0" applyFont="1" applyFill="1" applyBorder="1" applyProtection="1">
      <protection locked="0" hidden="1"/>
    </xf>
    <xf numFmtId="0" fontId="17" fillId="3" borderId="8" xfId="0" applyFont="1" applyFill="1" applyBorder="1" applyProtection="1">
      <protection hidden="1"/>
    </xf>
    <xf numFmtId="0" fontId="17" fillId="5" borderId="9" xfId="0" applyFont="1" applyFill="1" applyBorder="1" applyProtection="1">
      <protection hidden="1"/>
    </xf>
    <xf numFmtId="0" fontId="17" fillId="0" borderId="12" xfId="0" applyFont="1" applyBorder="1" applyAlignment="1" applyProtection="1">
      <alignment horizontal="center"/>
      <protection hidden="1"/>
    </xf>
    <xf numFmtId="0" fontId="17" fillId="6" borderId="13" xfId="0" applyFont="1" applyFill="1" applyBorder="1" applyProtection="1">
      <protection locked="0" hidden="1"/>
    </xf>
    <xf numFmtId="0" fontId="17" fillId="0" borderId="16" xfId="0" applyFont="1" applyBorder="1" applyAlignment="1" applyProtection="1">
      <alignment horizontal="center"/>
      <protection hidden="1"/>
    </xf>
    <xf numFmtId="0" fontId="162" fillId="15" borderId="0" xfId="0" applyFont="1" applyFill="1" applyAlignment="1" applyProtection="1">
      <alignment horizontal="left" vertical="center"/>
      <protection hidden="1"/>
    </xf>
    <xf numFmtId="0" fontId="155" fillId="0" borderId="64" xfId="0" applyFont="1" applyBorder="1"/>
    <xf numFmtId="0" fontId="10" fillId="0" borderId="64" xfId="0" applyFont="1" applyBorder="1" applyAlignment="1">
      <alignment vertical="center"/>
    </xf>
    <xf numFmtId="0" fontId="0" fillId="0" borderId="60" xfId="0" applyBorder="1"/>
    <xf numFmtId="0" fontId="7" fillId="0" borderId="0" xfId="0" applyFont="1" applyAlignment="1">
      <alignment vertical="center"/>
    </xf>
    <xf numFmtId="0" fontId="7" fillId="0" borderId="45" xfId="0" applyFont="1" applyBorder="1"/>
    <xf numFmtId="0" fontId="7" fillId="0" borderId="28" xfId="0" applyFont="1" applyBorder="1"/>
    <xf numFmtId="165" fontId="0" fillId="0" borderId="28" xfId="0" applyNumberFormat="1" applyBorder="1"/>
    <xf numFmtId="0" fontId="0" fillId="0" borderId="28" xfId="0" applyBorder="1"/>
    <xf numFmtId="0" fontId="7" fillId="0" borderId="29" xfId="0" applyFont="1" applyBorder="1"/>
    <xf numFmtId="165" fontId="0" fillId="0" borderId="29" xfId="0" applyNumberFormat="1" applyBorder="1"/>
    <xf numFmtId="0" fontId="7" fillId="0" borderId="46" xfId="0" applyFont="1" applyBorder="1" applyProtection="1">
      <protection hidden="1"/>
    </xf>
    <xf numFmtId="0" fontId="76" fillId="0" borderId="46" xfId="0" applyFont="1" applyBorder="1" applyAlignment="1" applyProtection="1">
      <alignment horizontal="center" textRotation="90"/>
      <protection hidden="1"/>
    </xf>
    <xf numFmtId="0" fontId="10" fillId="0" borderId="34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61" fillId="20" borderId="31" xfId="0" applyFont="1" applyFill="1" applyBorder="1" applyAlignment="1" applyProtection="1">
      <alignment horizontal="center" vertical="center"/>
      <protection locked="0"/>
    </xf>
    <xf numFmtId="1" fontId="76" fillId="0" borderId="46" xfId="0" applyNumberFormat="1" applyFont="1" applyBorder="1" applyAlignment="1" applyProtection="1">
      <alignment horizontal="center" vertical="center"/>
      <protection hidden="1"/>
    </xf>
    <xf numFmtId="1" fontId="76" fillId="0" borderId="41" xfId="0" applyNumberFormat="1" applyFont="1" applyBorder="1" applyAlignment="1" applyProtection="1">
      <alignment horizontal="center" vertical="center"/>
      <protection hidden="1"/>
    </xf>
    <xf numFmtId="1" fontId="76" fillId="0" borderId="31" xfId="0" applyNumberFormat="1" applyFont="1" applyBorder="1" applyAlignment="1" applyProtection="1">
      <alignment horizontal="center" vertical="center"/>
      <protection hidden="1"/>
    </xf>
    <xf numFmtId="0" fontId="147" fillId="24" borderId="8" xfId="3" applyFont="1" applyFill="1" applyBorder="1" applyAlignment="1">
      <alignment horizontal="center" vertical="center" wrapText="1"/>
    </xf>
    <xf numFmtId="0" fontId="174" fillId="18" borderId="8" xfId="3" applyFont="1" applyFill="1" applyBorder="1" applyAlignment="1">
      <alignment horizontal="left" vertical="center" wrapText="1"/>
    </xf>
    <xf numFmtId="0" fontId="175" fillId="15" borderId="8" xfId="3" applyFont="1" applyFill="1" applyBorder="1" applyAlignment="1" applyProtection="1">
      <alignment horizontal="center" vertical="center" wrapText="1"/>
      <protection hidden="1"/>
    </xf>
    <xf numFmtId="0" fontId="81" fillId="0" borderId="47" xfId="3" applyBorder="1"/>
    <xf numFmtId="0" fontId="174" fillId="18" borderId="8" xfId="3" applyFont="1" applyFill="1" applyBorder="1" applyAlignment="1">
      <alignment vertical="center" wrapText="1"/>
    </xf>
    <xf numFmtId="0" fontId="147" fillId="15" borderId="8" xfId="3" applyFont="1" applyFill="1" applyBorder="1" applyAlignment="1">
      <alignment horizontal="center" vertical="center" wrapText="1"/>
    </xf>
    <xf numFmtId="0" fontId="10" fillId="35" borderId="43" xfId="4" applyFont="1" applyFill="1" applyBorder="1" applyAlignment="1">
      <alignment horizontal="center" vertical="center"/>
    </xf>
    <xf numFmtId="0" fontId="139" fillId="0" borderId="0" xfId="4" applyFont="1" applyBorder="1" applyAlignment="1">
      <alignment horizontal="left" vertical="center" wrapText="1"/>
    </xf>
    <xf numFmtId="0" fontId="139" fillId="40" borderId="0" xfId="4" applyFont="1" applyFill="1" applyBorder="1" applyAlignment="1" applyProtection="1">
      <alignment horizontal="left" vertical="center" wrapText="1"/>
      <protection hidden="1"/>
    </xf>
    <xf numFmtId="0" fontId="128" fillId="40" borderId="0" xfId="4" applyFont="1" applyFill="1" applyBorder="1" applyAlignment="1" applyProtection="1">
      <alignment horizontal="center" vertical="center" wrapText="1"/>
      <protection hidden="1"/>
    </xf>
    <xf numFmtId="0" fontId="174" fillId="39" borderId="8" xfId="3" applyFont="1" applyFill="1" applyBorder="1" applyAlignment="1" applyProtection="1">
      <alignment horizontal="center" vertical="center"/>
      <protection locked="0" hidden="1"/>
    </xf>
    <xf numFmtId="0" fontId="81" fillId="0" borderId="47" xfId="3" applyBorder="1" applyProtection="1">
      <protection hidden="1"/>
    </xf>
    <xf numFmtId="0" fontId="147" fillId="24" borderId="8" xfId="3" applyFont="1" applyFill="1" applyBorder="1" applyAlignment="1" applyProtection="1">
      <alignment horizontal="center" vertical="center" wrapText="1"/>
      <protection hidden="1"/>
    </xf>
    <xf numFmtId="0" fontId="181" fillId="0" borderId="8" xfId="3" applyFont="1" applyBorder="1" applyAlignment="1" applyProtection="1">
      <alignment horizontal="center" vertical="center" wrapText="1"/>
      <protection hidden="1"/>
    </xf>
    <xf numFmtId="2" fontId="182" fillId="0" borderId="8" xfId="3" applyNumberFormat="1" applyFont="1" applyBorder="1" applyAlignment="1" applyProtection="1">
      <alignment horizontal="center" vertical="center"/>
      <protection hidden="1"/>
    </xf>
    <xf numFmtId="0" fontId="133" fillId="35" borderId="30" xfId="4" applyFont="1" applyFill="1" applyBorder="1" applyAlignment="1" applyProtection="1">
      <alignment horizontal="center" vertical="center"/>
      <protection locked="0" hidden="1"/>
    </xf>
    <xf numFmtId="0" fontId="177" fillId="24" borderId="8" xfId="3" applyFont="1" applyFill="1" applyBorder="1" applyAlignment="1">
      <alignment horizontal="center" vertical="center" wrapText="1"/>
    </xf>
    <xf numFmtId="0" fontId="133" fillId="35" borderId="51" xfId="4" applyFont="1" applyFill="1" applyBorder="1" applyAlignment="1" applyProtection="1">
      <alignment horizontal="center" vertical="center"/>
      <protection locked="0"/>
    </xf>
    <xf numFmtId="0" fontId="18" fillId="34" borderId="47" xfId="4" applyFont="1" applyFill="1" applyBorder="1" applyAlignment="1" applyProtection="1">
      <alignment horizontal="left" vertical="center" wrapText="1"/>
      <protection hidden="1"/>
    </xf>
    <xf numFmtId="0" fontId="18" fillId="34" borderId="8" xfId="4" applyFont="1" applyFill="1" applyBorder="1" applyAlignment="1" applyProtection="1">
      <alignment horizontal="left" vertical="center" wrapText="1"/>
      <protection hidden="1"/>
    </xf>
    <xf numFmtId="0" fontId="18" fillId="34" borderId="8" xfId="0" applyFont="1" applyFill="1" applyBorder="1" applyAlignment="1" applyProtection="1">
      <alignment horizontal="left" vertical="center" wrapText="1"/>
      <protection hidden="1"/>
    </xf>
    <xf numFmtId="0" fontId="18" fillId="34" borderId="8" xfId="4" quotePrefix="1" applyFont="1" applyFill="1" applyBorder="1" applyAlignment="1" applyProtection="1">
      <alignment horizontal="left" vertical="center" wrapText="1"/>
      <protection hidden="1"/>
    </xf>
    <xf numFmtId="0" fontId="139" fillId="34" borderId="8" xfId="4" applyFont="1" applyFill="1" applyBorder="1" applyAlignment="1" applyProtection="1">
      <alignment horizontal="left" vertical="center" wrapText="1"/>
      <protection hidden="1"/>
    </xf>
    <xf numFmtId="0" fontId="139" fillId="0" borderId="8" xfId="4" applyFont="1" applyBorder="1" applyAlignment="1">
      <alignment horizontal="left" vertical="center" wrapText="1"/>
    </xf>
    <xf numFmtId="0" fontId="128" fillId="33" borderId="8" xfId="4" applyFont="1" applyFill="1" applyBorder="1" applyAlignment="1" applyProtection="1">
      <alignment horizontal="center" vertical="center" wrapText="1"/>
      <protection hidden="1"/>
    </xf>
    <xf numFmtId="0" fontId="18" fillId="0" borderId="8" xfId="4" applyFont="1" applyBorder="1" applyAlignment="1" applyProtection="1">
      <alignment horizontal="left" vertical="center" wrapText="1"/>
      <protection hidden="1"/>
    </xf>
    <xf numFmtId="0" fontId="18" fillId="34" borderId="9" xfId="4" applyFont="1" applyFill="1" applyBorder="1" applyAlignment="1" applyProtection="1">
      <alignment vertical="center" wrapText="1"/>
      <protection hidden="1"/>
    </xf>
    <xf numFmtId="0" fontId="18" fillId="0" borderId="39" xfId="4" applyFont="1" applyBorder="1" applyAlignment="1">
      <alignment vertical="center" wrapText="1"/>
    </xf>
    <xf numFmtId="0" fontId="18" fillId="0" borderId="23" xfId="4" applyFont="1" applyBorder="1" applyAlignment="1">
      <alignment vertical="center" wrapText="1"/>
    </xf>
    <xf numFmtId="0" fontId="18" fillId="0" borderId="8" xfId="4" applyFont="1" applyBorder="1" applyAlignment="1">
      <alignment horizontal="left" vertical="center" wrapText="1"/>
    </xf>
    <xf numFmtId="0" fontId="135" fillId="15" borderId="45" xfId="0" applyFont="1" applyFill="1" applyBorder="1" applyAlignment="1" applyProtection="1">
      <alignment horizontal="center" vertical="center" wrapText="1"/>
      <protection hidden="1"/>
    </xf>
    <xf numFmtId="0" fontId="135" fillId="15" borderId="28" xfId="0" applyFont="1" applyFill="1" applyBorder="1" applyAlignment="1" applyProtection="1">
      <alignment horizontal="center"/>
      <protection hidden="1"/>
    </xf>
    <xf numFmtId="0" fontId="136" fillId="0" borderId="53" xfId="0" applyFont="1" applyBorder="1" applyAlignment="1" applyProtection="1">
      <alignment horizontal="center"/>
      <protection hidden="1"/>
    </xf>
    <xf numFmtId="0" fontId="135" fillId="15" borderId="46" xfId="0" applyFont="1" applyFill="1" applyBorder="1" applyAlignment="1" applyProtection="1">
      <alignment horizontal="center"/>
      <protection hidden="1"/>
    </xf>
    <xf numFmtId="0" fontId="135" fillId="15" borderId="0" xfId="0" applyFont="1" applyFill="1" applyAlignment="1" applyProtection="1">
      <alignment horizontal="center"/>
      <protection hidden="1"/>
    </xf>
    <xf numFmtId="0" fontId="136" fillId="0" borderId="64" xfId="0" applyFont="1" applyBorder="1" applyAlignment="1" applyProtection="1">
      <alignment horizontal="center"/>
      <protection hidden="1"/>
    </xf>
    <xf numFmtId="0" fontId="135" fillId="15" borderId="41" xfId="0" applyFont="1" applyFill="1" applyBorder="1" applyAlignment="1" applyProtection="1">
      <alignment horizontal="center"/>
      <protection hidden="1"/>
    </xf>
    <xf numFmtId="0" fontId="135" fillId="15" borderId="29" xfId="0" applyFont="1" applyFill="1" applyBorder="1" applyAlignment="1" applyProtection="1">
      <alignment horizontal="center"/>
      <protection hidden="1"/>
    </xf>
    <xf numFmtId="0" fontId="136" fillId="0" borderId="60" xfId="0" applyFont="1" applyBorder="1" applyAlignment="1" applyProtection="1">
      <alignment horizontal="center"/>
      <protection hidden="1"/>
    </xf>
    <xf numFmtId="0" fontId="143" fillId="0" borderId="76" xfId="4" applyFont="1" applyBorder="1" applyAlignment="1" applyProtection="1">
      <alignment horizontal="center" vertical="top"/>
      <protection hidden="1"/>
    </xf>
    <xf numFmtId="0" fontId="143" fillId="0" borderId="72" xfId="4" applyFont="1" applyBorder="1" applyAlignment="1" applyProtection="1">
      <alignment horizontal="center" vertical="top"/>
      <protection hidden="1"/>
    </xf>
    <xf numFmtId="0" fontId="143" fillId="0" borderId="73" xfId="4" applyFont="1" applyBorder="1" applyAlignment="1" applyProtection="1">
      <alignment vertical="top"/>
      <protection hidden="1"/>
    </xf>
    <xf numFmtId="0" fontId="143" fillId="0" borderId="75" xfId="4" applyFont="1" applyBorder="1" applyAlignment="1" applyProtection="1">
      <alignment vertical="top"/>
      <protection hidden="1"/>
    </xf>
    <xf numFmtId="0" fontId="128" fillId="33" borderId="47" xfId="4" applyFont="1" applyFill="1" applyBorder="1" applyAlignment="1" applyProtection="1">
      <alignment horizontal="center" vertical="center" wrapText="1"/>
      <protection hidden="1"/>
    </xf>
    <xf numFmtId="0" fontId="55" fillId="33" borderId="8" xfId="0" applyFont="1" applyFill="1" applyBorder="1" applyAlignment="1" applyProtection="1">
      <alignment horizontal="center" vertical="center" wrapText="1"/>
      <protection hidden="1"/>
    </xf>
    <xf numFmtId="0" fontId="129" fillId="34" borderId="8" xfId="4" applyFont="1" applyFill="1" applyBorder="1" applyAlignment="1" applyProtection="1">
      <alignment horizontal="left" vertical="center" wrapText="1"/>
      <protection hidden="1"/>
    </xf>
    <xf numFmtId="0" fontId="18" fillId="34" borderId="8" xfId="4" applyFont="1" applyFill="1" applyBorder="1" applyAlignment="1" applyProtection="1">
      <alignment horizontal="left" vertical="center"/>
      <protection hidden="1"/>
    </xf>
    <xf numFmtId="0" fontId="69" fillId="12" borderId="45" xfId="0" applyFont="1" applyFill="1" applyBorder="1" applyAlignment="1">
      <alignment horizontal="center" vertical="center" wrapText="1"/>
    </xf>
    <xf numFmtId="0" fontId="69" fillId="12" borderId="28" xfId="0" applyFont="1" applyFill="1" applyBorder="1" applyAlignment="1">
      <alignment horizontal="center" vertical="center" wrapText="1"/>
    </xf>
    <xf numFmtId="0" fontId="70" fillId="12" borderId="28" xfId="0" applyFont="1" applyFill="1" applyBorder="1" applyAlignment="1">
      <alignment horizontal="center" vertical="center" wrapText="1"/>
    </xf>
    <xf numFmtId="0" fontId="70" fillId="12" borderId="53" xfId="0" applyFont="1" applyFill="1" applyBorder="1" applyAlignment="1">
      <alignment horizontal="center" vertical="center" wrapText="1"/>
    </xf>
    <xf numFmtId="0" fontId="55" fillId="22" borderId="45" xfId="0" applyFont="1" applyFill="1" applyBorder="1" applyAlignment="1">
      <alignment horizontal="center" vertical="center"/>
    </xf>
    <xf numFmtId="0" fontId="55" fillId="22" borderId="41" xfId="0" applyFont="1" applyFill="1" applyBorder="1" applyAlignment="1">
      <alignment horizontal="center" vertical="center"/>
    </xf>
    <xf numFmtId="0" fontId="55" fillId="22" borderId="48" xfId="0" applyFont="1" applyFill="1" applyBorder="1" applyAlignment="1">
      <alignment horizontal="center" vertical="center"/>
    </xf>
    <xf numFmtId="0" fontId="55" fillId="22" borderId="37" xfId="0" applyFont="1" applyFill="1" applyBorder="1" applyAlignment="1">
      <alignment horizontal="center" vertical="center"/>
    </xf>
    <xf numFmtId="0" fontId="55" fillId="22" borderId="31" xfId="0" applyFont="1" applyFill="1" applyBorder="1" applyAlignment="1">
      <alignment horizontal="center" vertical="center"/>
    </xf>
    <xf numFmtId="0" fontId="55" fillId="22" borderId="51" xfId="0" applyFont="1" applyFill="1" applyBorder="1" applyAlignment="1">
      <alignment horizontal="center" vertical="center"/>
    </xf>
    <xf numFmtId="0" fontId="126" fillId="15" borderId="46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5" fillId="22" borderId="32" xfId="0" applyFont="1" applyFill="1" applyBorder="1" applyAlignment="1">
      <alignment horizontal="center" vertical="center" wrapText="1"/>
    </xf>
    <xf numFmtId="0" fontId="55" fillId="22" borderId="51" xfId="0" applyFont="1" applyFill="1" applyBorder="1" applyAlignment="1">
      <alignment horizontal="center" vertical="center" wrapText="1"/>
    </xf>
    <xf numFmtId="0" fontId="55" fillId="22" borderId="45" xfId="0" applyFont="1" applyFill="1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55" fillId="22" borderId="27" xfId="0" applyFont="1" applyFill="1" applyBorder="1" applyAlignment="1">
      <alignment horizontal="center" vertical="top" wrapText="1"/>
    </xf>
    <xf numFmtId="0" fontId="0" fillId="0" borderId="61" xfId="0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5" fillId="22" borderId="31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center"/>
    </xf>
    <xf numFmtId="0" fontId="10" fillId="0" borderId="96" xfId="0" applyFont="1" applyBorder="1" applyAlignment="1">
      <alignment horizontal="left" vertical="center"/>
    </xf>
    <xf numFmtId="0" fontId="19" fillId="36" borderId="28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wrapText="1"/>
    </xf>
    <xf numFmtId="0" fontId="0" fillId="0" borderId="53" xfId="0" applyBorder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9" fillId="6" borderId="7" xfId="0" applyFont="1" applyFill="1" applyBorder="1" applyAlignment="1" applyProtection="1">
      <alignment horizontal="left" vertic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19" fillId="7" borderId="19" xfId="0" applyFont="1" applyFill="1" applyBorder="1" applyAlignment="1" applyProtection="1">
      <alignment horizontal="left" vertic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73" fillId="0" borderId="41" xfId="0" applyFont="1" applyBorder="1" applyAlignment="1">
      <alignment horizontal="center" vertical="center" wrapText="1"/>
    </xf>
    <xf numFmtId="0" fontId="73" fillId="0" borderId="29" xfId="0" applyFont="1" applyBorder="1" applyAlignment="1">
      <alignment horizontal="center" vertical="center" wrapText="1"/>
    </xf>
    <xf numFmtId="0" fontId="73" fillId="0" borderId="60" xfId="0" applyFont="1" applyBorder="1" applyAlignment="1">
      <alignment horizontal="center" vertical="center" wrapText="1"/>
    </xf>
    <xf numFmtId="0" fontId="56" fillId="22" borderId="88" xfId="0" applyFont="1" applyFill="1" applyBorder="1" applyAlignment="1" applyProtection="1">
      <alignment vertical="center" wrapText="1"/>
      <protection hidden="1"/>
    </xf>
    <xf numFmtId="0" fontId="57" fillId="22" borderId="89" xfId="0" applyFont="1" applyFill="1" applyBorder="1" applyAlignment="1" applyProtection="1">
      <alignment wrapText="1"/>
      <protection hidden="1"/>
    </xf>
    <xf numFmtId="0" fontId="57" fillId="22" borderId="69" xfId="0" applyFont="1" applyFill="1" applyBorder="1" applyAlignment="1" applyProtection="1">
      <alignment wrapText="1"/>
      <protection hidden="1"/>
    </xf>
    <xf numFmtId="0" fontId="10" fillId="0" borderId="93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9" fillId="36" borderId="4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162" fillId="15" borderId="0" xfId="0" applyFont="1" applyFill="1" applyAlignment="1" applyProtection="1">
      <alignment horizontal="left" vertical="center" textRotation="90"/>
      <protection hidden="1"/>
    </xf>
    <xf numFmtId="0" fontId="18" fillId="15" borderId="0" xfId="0" applyFont="1" applyFill="1" applyAlignment="1" applyProtection="1">
      <alignment horizontal="left"/>
      <protection hidden="1"/>
    </xf>
    <xf numFmtId="0" fontId="162" fillId="15" borderId="54" xfId="0" applyFont="1" applyFill="1" applyBorder="1" applyAlignment="1" applyProtection="1">
      <alignment horizontal="right" textRotation="90" wrapText="1"/>
      <protection hidden="1"/>
    </xf>
    <xf numFmtId="0" fontId="162" fillId="15" borderId="46" xfId="0" applyFont="1" applyFill="1" applyBorder="1" applyAlignment="1" applyProtection="1">
      <alignment horizontal="right" textRotation="90" wrapText="1"/>
      <protection hidden="1"/>
    </xf>
    <xf numFmtId="0" fontId="1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3" fillId="0" borderId="55" xfId="0" applyFont="1" applyBorder="1" applyAlignment="1">
      <alignment horizontal="center" vertical="center" wrapText="1"/>
    </xf>
    <xf numFmtId="0" fontId="6" fillId="0" borderId="55" xfId="0" applyFont="1" applyBorder="1" applyAlignment="1">
      <alignment wrapText="1"/>
    </xf>
    <xf numFmtId="0" fontId="10" fillId="0" borderId="49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6" borderId="4" xfId="0" applyFont="1" applyFill="1" applyBorder="1" applyAlignment="1" applyProtection="1">
      <alignment horizontal="left" vertical="center"/>
      <protection hidden="1"/>
    </xf>
    <xf numFmtId="0" fontId="0" fillId="0" borderId="39" xfId="0" applyBorder="1" applyProtection="1">
      <protection hidden="1"/>
    </xf>
    <xf numFmtId="0" fontId="0" fillId="0" borderId="44" xfId="0" applyBorder="1"/>
    <xf numFmtId="0" fontId="19" fillId="7" borderId="4" xfId="0" applyFont="1" applyFill="1" applyBorder="1" applyAlignment="1" applyProtection="1">
      <alignment horizontal="left" vertical="center"/>
      <protection hidden="1"/>
    </xf>
    <xf numFmtId="0" fontId="7" fillId="0" borderId="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7" fillId="8" borderId="8" xfId="0" applyFont="1" applyFill="1" applyBorder="1" applyAlignment="1">
      <alignment horizontal="center" wrapText="1"/>
    </xf>
    <xf numFmtId="0" fontId="6" fillId="15" borderId="0" xfId="0" applyFont="1" applyFill="1" applyAlignment="1" applyProtection="1">
      <alignment horizontal="left" vertical="center" wrapText="1"/>
      <protection hidden="1"/>
    </xf>
    <xf numFmtId="0" fontId="7" fillId="15" borderId="0" xfId="0" applyFont="1" applyFill="1" applyAlignment="1" applyProtection="1">
      <alignment wrapText="1"/>
      <protection hidden="1"/>
    </xf>
    <xf numFmtId="0" fontId="157" fillId="21" borderId="68" xfId="0" applyFont="1" applyFill="1" applyBorder="1" applyAlignment="1">
      <alignment horizontal="center" vertical="center" wrapText="1"/>
    </xf>
    <xf numFmtId="0" fontId="157" fillId="21" borderId="32" xfId="0" applyFont="1" applyFill="1" applyBorder="1" applyAlignment="1">
      <alignment horizontal="center" vertical="center" wrapText="1"/>
    </xf>
    <xf numFmtId="0" fontId="43" fillId="21" borderId="68" xfId="0" applyFont="1" applyFill="1" applyBorder="1" applyAlignment="1">
      <alignment horizontal="center" vertical="center" wrapText="1"/>
    </xf>
    <xf numFmtId="0" fontId="43" fillId="21" borderId="32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hidden="1"/>
    </xf>
    <xf numFmtId="0" fontId="7" fillId="10" borderId="29" xfId="0" applyFont="1" applyFill="1" applyBorder="1" applyAlignment="1" applyProtection="1">
      <alignment wrapText="1"/>
      <protection hidden="1"/>
    </xf>
    <xf numFmtId="0" fontId="0" fillId="0" borderId="60" xfId="0" applyBorder="1" applyAlignment="1">
      <alignment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1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21" fillId="9" borderId="45" xfId="0" applyFont="1" applyFill="1" applyBorder="1" applyAlignment="1" applyProtection="1">
      <alignment horizontal="left"/>
      <protection locked="0" hidden="1"/>
    </xf>
    <xf numFmtId="0" fontId="21" fillId="9" borderId="28" xfId="0" applyFont="1" applyFill="1" applyBorder="1" applyAlignment="1" applyProtection="1">
      <alignment horizontal="left"/>
      <protection locked="0" hidden="1"/>
    </xf>
    <xf numFmtId="0" fontId="21" fillId="9" borderId="53" xfId="0" applyFont="1" applyFill="1" applyBorder="1" applyAlignment="1" applyProtection="1">
      <alignment horizontal="left"/>
      <protection locked="0" hidden="1"/>
    </xf>
    <xf numFmtId="0" fontId="10" fillId="9" borderId="45" xfId="0" applyFont="1" applyFill="1" applyBorder="1" applyAlignment="1" applyProtection="1">
      <alignment horizontal="left"/>
      <protection locked="0"/>
    </xf>
    <xf numFmtId="0" fontId="10" fillId="9" borderId="28" xfId="0" applyFont="1" applyFill="1" applyBorder="1" applyAlignment="1" applyProtection="1">
      <alignment horizontal="left"/>
      <protection locked="0"/>
    </xf>
    <xf numFmtId="0" fontId="10" fillId="9" borderId="53" xfId="0" applyFont="1" applyFill="1" applyBorder="1" applyAlignment="1" applyProtection="1">
      <alignment horizontal="left"/>
      <protection locked="0"/>
    </xf>
    <xf numFmtId="0" fontId="21" fillId="18" borderId="31" xfId="0" applyFont="1" applyFill="1" applyBorder="1" applyAlignment="1" applyProtection="1">
      <alignment horizontal="left"/>
      <protection locked="0"/>
    </xf>
    <xf numFmtId="0" fontId="21" fillId="18" borderId="32" xfId="0" applyFont="1" applyFill="1" applyBorder="1" applyAlignment="1" applyProtection="1">
      <alignment horizontal="left"/>
      <protection locked="0"/>
    </xf>
    <xf numFmtId="0" fontId="21" fillId="18" borderId="51" xfId="0" applyFont="1" applyFill="1" applyBorder="1" applyAlignment="1" applyProtection="1">
      <alignment horizontal="left"/>
      <protection locked="0"/>
    </xf>
    <xf numFmtId="0" fontId="71" fillId="12" borderId="31" xfId="0" applyFont="1" applyFill="1" applyBorder="1" applyAlignment="1" applyProtection="1">
      <alignment horizontal="center" vertical="center"/>
      <protection locked="0"/>
    </xf>
    <xf numFmtId="0" fontId="71" fillId="12" borderId="32" xfId="0" applyFont="1" applyFill="1" applyBorder="1" applyAlignment="1" applyProtection="1">
      <alignment horizontal="center" vertical="center"/>
      <protection locked="0"/>
    </xf>
    <xf numFmtId="0" fontId="72" fillId="12" borderId="32" xfId="0" applyFont="1" applyFill="1" applyBorder="1"/>
    <xf numFmtId="0" fontId="72" fillId="12" borderId="51" xfId="0" applyFont="1" applyFill="1" applyBorder="1"/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6" fillId="0" borderId="64" xfId="0" applyFont="1" applyBorder="1"/>
    <xf numFmtId="0" fontId="8" fillId="6" borderId="31" xfId="1" applyFont="1" applyFill="1" applyBorder="1" applyAlignment="1" applyProtection="1">
      <alignment vertical="center"/>
      <protection hidden="1"/>
    </xf>
    <xf numFmtId="0" fontId="7" fillId="0" borderId="51" xfId="1" applyBorder="1" applyAlignment="1" applyProtection="1">
      <alignment vertical="center"/>
      <protection hidden="1"/>
    </xf>
    <xf numFmtId="0" fontId="159" fillId="10" borderId="25" xfId="1" applyFont="1" applyFill="1" applyBorder="1" applyAlignment="1" applyProtection="1">
      <alignment horizontal="center" vertical="center" wrapText="1"/>
      <protection hidden="1"/>
    </xf>
    <xf numFmtId="0" fontId="159" fillId="10" borderId="47" xfId="1" applyFont="1" applyFill="1" applyBorder="1" applyAlignment="1" applyProtection="1">
      <alignment horizontal="center" vertical="center" wrapText="1"/>
      <protection hidden="1"/>
    </xf>
    <xf numFmtId="0" fontId="159" fillId="10" borderId="26" xfId="1" applyFont="1" applyFill="1" applyBorder="1" applyAlignment="1" applyProtection="1">
      <alignment wrapText="1"/>
      <protection hidden="1"/>
    </xf>
    <xf numFmtId="0" fontId="9" fillId="5" borderId="46" xfId="1" applyFont="1" applyFill="1" applyBorder="1" applyAlignment="1" applyProtection="1">
      <alignment horizontal="center" vertical="center"/>
      <protection hidden="1"/>
    </xf>
    <xf numFmtId="0" fontId="9" fillId="5" borderId="0" xfId="1" applyFont="1" applyFill="1" applyAlignment="1" applyProtection="1">
      <alignment horizontal="center" vertical="center"/>
      <protection hidden="1"/>
    </xf>
    <xf numFmtId="0" fontId="7" fillId="0" borderId="0" xfId="1" applyProtection="1">
      <protection hidden="1"/>
    </xf>
    <xf numFmtId="0" fontId="74" fillId="15" borderId="0" xfId="1" applyFont="1" applyFill="1" applyAlignment="1" applyProtection="1">
      <alignment horizontal="center" vertical="center"/>
      <protection hidden="1"/>
    </xf>
    <xf numFmtId="0" fontId="7" fillId="0" borderId="0" xfId="1" applyAlignment="1" applyProtection="1">
      <alignment horizontal="center" vertical="center"/>
      <protection hidden="1"/>
    </xf>
    <xf numFmtId="0" fontId="56" fillId="22" borderId="49" xfId="1" applyFont="1" applyFill="1" applyBorder="1" applyAlignment="1" applyProtection="1">
      <alignment horizontal="center" vertical="center" wrapText="1"/>
      <protection hidden="1"/>
    </xf>
    <xf numFmtId="0" fontId="56" fillId="22" borderId="58" xfId="1" applyFont="1" applyFill="1" applyBorder="1" applyAlignment="1" applyProtection="1">
      <alignment horizontal="center" vertical="center" wrapText="1"/>
      <protection hidden="1"/>
    </xf>
    <xf numFmtId="0" fontId="56" fillId="22" borderId="59" xfId="1" applyFont="1" applyFill="1" applyBorder="1" applyAlignment="1" applyProtection="1">
      <alignment horizontal="center" vertical="center" wrapText="1"/>
      <protection hidden="1"/>
    </xf>
    <xf numFmtId="0" fontId="56" fillId="22" borderId="28" xfId="1" applyFont="1" applyFill="1" applyBorder="1" applyAlignment="1" applyProtection="1">
      <alignment horizontal="center" vertical="center" wrapText="1"/>
      <protection hidden="1"/>
    </xf>
    <xf numFmtId="0" fontId="7" fillId="0" borderId="29" xfId="1" applyBorder="1" applyAlignment="1" applyProtection="1">
      <alignment wrapText="1"/>
      <protection hidden="1"/>
    </xf>
    <xf numFmtId="0" fontId="61" fillId="22" borderId="31" xfId="1" applyFont="1" applyFill="1" applyBorder="1" applyAlignment="1" applyProtection="1">
      <alignment horizontal="center" vertical="center" wrapText="1"/>
      <protection hidden="1"/>
    </xf>
    <xf numFmtId="0" fontId="67" fillId="22" borderId="32" xfId="1" applyFont="1" applyFill="1" applyBorder="1" applyAlignment="1" applyProtection="1">
      <alignment horizontal="center" vertical="center" wrapText="1"/>
      <protection hidden="1"/>
    </xf>
    <xf numFmtId="0" fontId="67" fillId="22" borderId="51" xfId="1" applyFont="1" applyFill="1" applyBorder="1" applyAlignment="1" applyProtection="1">
      <alignment horizontal="center" vertical="center" wrapText="1"/>
      <protection hidden="1"/>
    </xf>
    <xf numFmtId="0" fontId="8" fillId="7" borderId="31" xfId="1" applyFont="1" applyFill="1" applyBorder="1" applyAlignment="1" applyProtection="1">
      <alignment vertical="center"/>
      <protection hidden="1"/>
    </xf>
    <xf numFmtId="0" fontId="19" fillId="6" borderId="31" xfId="1" applyFont="1" applyFill="1" applyBorder="1" applyAlignment="1" applyProtection="1">
      <alignment vertical="center"/>
      <protection hidden="1"/>
    </xf>
    <xf numFmtId="0" fontId="10" fillId="11" borderId="31" xfId="1" applyFont="1" applyFill="1" applyBorder="1" applyAlignment="1" applyProtection="1">
      <alignment vertical="center" wrapText="1"/>
      <protection hidden="1"/>
    </xf>
    <xf numFmtId="0" fontId="17" fillId="11" borderId="51" xfId="1" applyFont="1" applyFill="1" applyBorder="1" applyAlignment="1" applyProtection="1">
      <alignment vertical="center" wrapText="1"/>
      <protection hidden="1"/>
    </xf>
    <xf numFmtId="0" fontId="31" fillId="0" borderId="31" xfId="1" applyFont="1" applyBorder="1" applyAlignment="1">
      <alignment horizontal="left" vertical="center" wrapText="1"/>
    </xf>
    <xf numFmtId="0" fontId="31" fillId="0" borderId="51" xfId="1" applyFont="1" applyBorder="1" applyAlignment="1">
      <alignment horizontal="left" vertical="center" wrapText="1"/>
    </xf>
    <xf numFmtId="0" fontId="56" fillId="22" borderId="45" xfId="1" applyFont="1" applyFill="1" applyBorder="1" applyAlignment="1" applyProtection="1">
      <alignment vertical="center" wrapText="1"/>
      <protection hidden="1"/>
    </xf>
    <xf numFmtId="0" fontId="7" fillId="0" borderId="41" xfId="1" applyBorder="1" applyAlignment="1" applyProtection="1">
      <alignment wrapText="1"/>
      <protection hidden="1"/>
    </xf>
    <xf numFmtId="0" fontId="7" fillId="0" borderId="29" xfId="1" applyBorder="1" applyAlignment="1" applyProtection="1">
      <alignment horizontal="center" vertical="center" wrapText="1"/>
      <protection hidden="1"/>
    </xf>
    <xf numFmtId="0" fontId="24" fillId="12" borderId="45" xfId="1" applyFont="1" applyFill="1" applyBorder="1" applyAlignment="1">
      <alignment horizontal="center" vertical="center"/>
    </xf>
    <xf numFmtId="0" fontId="24" fillId="12" borderId="28" xfId="1" applyFont="1" applyFill="1" applyBorder="1" applyAlignment="1">
      <alignment horizontal="center" vertical="center"/>
    </xf>
    <xf numFmtId="0" fontId="7" fillId="12" borderId="28" xfId="1" applyFill="1" applyBorder="1" applyAlignment="1">
      <alignment horizontal="center" vertical="center"/>
    </xf>
    <xf numFmtId="0" fontId="7" fillId="12" borderId="53" xfId="1" applyFill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5" fillId="22" borderId="30" xfId="0" applyFont="1" applyFill="1" applyBorder="1" applyAlignment="1" applyProtection="1">
      <alignment horizontal="center" vertical="center"/>
      <protection hidden="1"/>
    </xf>
    <xf numFmtId="0" fontId="61" fillId="23" borderId="31" xfId="0" applyFont="1" applyFill="1" applyBorder="1" applyAlignment="1" applyProtection="1">
      <alignment horizontal="center" vertical="center"/>
      <protection hidden="1"/>
    </xf>
    <xf numFmtId="0" fontId="0" fillId="0" borderId="51" xfId="0" applyBorder="1" applyAlignment="1">
      <alignment horizontal="center" vertical="center"/>
    </xf>
    <xf numFmtId="0" fontId="18" fillId="24" borderId="31" xfId="0" applyFont="1" applyFill="1" applyBorder="1" applyAlignment="1" applyProtection="1">
      <alignment horizontal="center" vertical="center" wrapText="1"/>
      <protection hidden="1"/>
    </xf>
    <xf numFmtId="0" fontId="18" fillId="0" borderId="31" xfId="0" applyFont="1" applyBorder="1" applyAlignment="1" applyProtection="1">
      <alignment horizontal="center" vertical="center" wrapText="1"/>
      <protection hidden="1"/>
    </xf>
    <xf numFmtId="0" fontId="6" fillId="6" borderId="31" xfId="0" applyFont="1" applyFill="1" applyBorder="1" applyAlignment="1" applyProtection="1">
      <alignment horizontal="left" vertical="center" wrapText="1"/>
      <protection hidden="1"/>
    </xf>
    <xf numFmtId="0" fontId="0" fillId="0" borderId="51" xfId="0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9" fillId="5" borderId="41" xfId="0" applyFont="1" applyFill="1" applyBorder="1" applyAlignment="1" applyProtection="1">
      <alignment horizontal="center" vertical="center"/>
      <protection hidden="1"/>
    </xf>
    <xf numFmtId="0" fontId="9" fillId="5" borderId="29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Protection="1">
      <protection hidden="1"/>
    </xf>
    <xf numFmtId="0" fontId="24" fillId="12" borderId="88" xfId="0" applyFont="1" applyFill="1" applyBorder="1" applyAlignment="1">
      <alignment horizontal="center" vertical="center"/>
    </xf>
    <xf numFmtId="0" fontId="24" fillId="12" borderId="70" xfId="0" applyFont="1" applyFill="1" applyBorder="1" applyAlignment="1">
      <alignment horizontal="center" vertical="center"/>
    </xf>
    <xf numFmtId="0" fontId="24" fillId="12" borderId="58" xfId="0" applyFont="1" applyFill="1" applyBorder="1" applyAlignment="1">
      <alignment horizontal="center" vertical="center"/>
    </xf>
    <xf numFmtId="0" fontId="24" fillId="12" borderId="59" xfId="0" applyFont="1" applyFill="1" applyBorder="1" applyAlignment="1">
      <alignment horizontal="center" vertical="center"/>
    </xf>
    <xf numFmtId="0" fontId="74" fillId="15" borderId="45" xfId="0" applyFont="1" applyFill="1" applyBorder="1" applyAlignment="1" applyProtection="1">
      <alignment horizontal="center" vertical="center"/>
      <protection hidden="1"/>
    </xf>
    <xf numFmtId="0" fontId="74" fillId="15" borderId="28" xfId="0" applyFont="1" applyFill="1" applyBorder="1" applyAlignment="1" applyProtection="1">
      <alignment horizontal="center" vertical="center"/>
      <protection hidden="1"/>
    </xf>
    <xf numFmtId="0" fontId="17" fillId="0" borderId="28" xfId="0" applyFont="1" applyBorder="1" applyAlignment="1" applyProtection="1">
      <alignment horizontal="center" vertical="center"/>
      <protection hidden="1"/>
    </xf>
    <xf numFmtId="0" fontId="75" fillId="22" borderId="45" xfId="0" applyFont="1" applyFill="1" applyBorder="1" applyAlignment="1" applyProtection="1">
      <alignment horizontal="center" vertical="center"/>
      <protection hidden="1"/>
    </xf>
    <xf numFmtId="0" fontId="0" fillId="0" borderId="53" xfId="0" applyBorder="1" applyAlignment="1">
      <alignment horizontal="center" vertical="center"/>
    </xf>
    <xf numFmtId="0" fontId="75" fillId="22" borderId="41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Alignment="1">
      <alignment horizontal="center" vertical="center"/>
    </xf>
    <xf numFmtId="0" fontId="30" fillId="0" borderId="31" xfId="0" applyFont="1" applyBorder="1" applyAlignment="1" applyProtection="1">
      <alignment horizontal="center" vertical="center"/>
      <protection hidden="1"/>
    </xf>
    <xf numFmtId="0" fontId="11" fillId="6" borderId="31" xfId="0" applyFont="1" applyFill="1" applyBorder="1" applyAlignment="1" applyProtection="1">
      <alignment horizontal="left" vertical="center"/>
      <protection hidden="1"/>
    </xf>
    <xf numFmtId="0" fontId="0" fillId="0" borderId="51" xfId="0" applyBorder="1" applyAlignment="1">
      <alignment horizontal="left" vertical="center"/>
    </xf>
    <xf numFmtId="0" fontId="11" fillId="7" borderId="31" xfId="0" applyFont="1" applyFill="1" applyBorder="1" applyAlignment="1" applyProtection="1">
      <alignment horizontal="left" vertical="center"/>
      <protection hidden="1"/>
    </xf>
    <xf numFmtId="0" fontId="19" fillId="6" borderId="31" xfId="0" applyFont="1" applyFill="1" applyBorder="1" applyAlignment="1" applyProtection="1">
      <alignment horizontal="left" vertical="center"/>
      <protection hidden="1"/>
    </xf>
    <xf numFmtId="0" fontId="9" fillId="5" borderId="45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0" fontId="10" fillId="15" borderId="47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>
      <alignment horizontal="center" vertical="center"/>
    </xf>
    <xf numFmtId="0" fontId="56" fillId="22" borderId="45" xfId="0" applyFont="1" applyFill="1" applyBorder="1" applyAlignment="1" applyProtection="1">
      <alignment horizontal="center" vertical="center" wrapText="1"/>
      <protection hidden="1"/>
    </xf>
    <xf numFmtId="0" fontId="56" fillId="22" borderId="28" xfId="0" applyFont="1" applyFill="1" applyBorder="1" applyAlignment="1" applyProtection="1">
      <alignment horizontal="center" vertical="center" wrapText="1"/>
      <protection hidden="1"/>
    </xf>
    <xf numFmtId="0" fontId="0" fillId="0" borderId="53" xfId="0" applyBorder="1" applyAlignment="1">
      <alignment horizontal="center" vertical="center" wrapText="1"/>
    </xf>
    <xf numFmtId="0" fontId="56" fillId="22" borderId="41" xfId="0" applyFont="1" applyFill="1" applyBorder="1" applyAlignment="1" applyProtection="1">
      <alignment horizontal="center" vertical="center" wrapText="1"/>
      <protection hidden="1"/>
    </xf>
    <xf numFmtId="0" fontId="56" fillId="22" borderId="29" xfId="0" applyFont="1" applyFill="1" applyBorder="1" applyAlignment="1" applyProtection="1">
      <alignment horizontal="center" vertical="center" wrapText="1"/>
      <protection hidden="1"/>
    </xf>
    <xf numFmtId="0" fontId="0" fillId="0" borderId="60" xfId="0" applyBorder="1" applyAlignment="1">
      <alignment horizontal="center" vertical="center" wrapText="1"/>
    </xf>
    <xf numFmtId="0" fontId="10" fillId="15" borderId="8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10" fillId="15" borderId="14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7" borderId="31" xfId="0" applyFont="1" applyFill="1" applyBorder="1" applyAlignment="1" applyProtection="1">
      <alignment horizontal="left" vertical="center"/>
      <protection hidden="1"/>
    </xf>
    <xf numFmtId="0" fontId="10" fillId="11" borderId="31" xfId="0" applyFont="1" applyFill="1" applyBorder="1" applyAlignment="1" applyProtection="1">
      <alignment horizontal="left" vertical="center" wrapText="1"/>
      <protection hidden="1"/>
    </xf>
    <xf numFmtId="0" fontId="56" fillId="22" borderId="51" xfId="0" applyFont="1" applyFill="1" applyBorder="1" applyAlignment="1" applyProtection="1">
      <alignment horizontal="center" vertical="center"/>
      <protection hidden="1"/>
    </xf>
    <xf numFmtId="0" fontId="56" fillId="22" borderId="30" xfId="0" applyFont="1" applyFill="1" applyBorder="1" applyAlignment="1" applyProtection="1">
      <alignment horizontal="center" vertical="center"/>
      <protection hidden="1"/>
    </xf>
    <xf numFmtId="0" fontId="74" fillId="0" borderId="41" xfId="0" applyFont="1" applyBorder="1" applyAlignment="1" applyProtection="1">
      <alignment horizontal="center" vertical="center"/>
      <protection hidden="1"/>
    </xf>
    <xf numFmtId="0" fontId="74" fillId="0" borderId="29" xfId="0" applyFont="1" applyBorder="1" applyAlignment="1" applyProtection="1">
      <alignment horizontal="center" vertical="center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60" xfId="0" applyFont="1" applyBorder="1" applyAlignment="1" applyProtection="1">
      <alignment horizontal="center" vertical="center"/>
      <protection hidden="1"/>
    </xf>
    <xf numFmtId="0" fontId="24" fillId="12" borderId="31" xfId="0" applyFont="1" applyFill="1" applyBorder="1" applyAlignment="1">
      <alignment horizontal="center" vertical="center"/>
    </xf>
    <xf numFmtId="0" fontId="24" fillId="12" borderId="32" xfId="0" applyFont="1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51" xfId="0" applyFill="1" applyBorder="1" applyAlignment="1">
      <alignment horizontal="center" vertical="center"/>
    </xf>
    <xf numFmtId="0" fontId="56" fillId="22" borderId="45" xfId="0" applyFont="1" applyFill="1" applyBorder="1" applyAlignment="1" applyProtection="1">
      <alignment horizontal="center" vertical="center"/>
      <protection hidden="1"/>
    </xf>
    <xf numFmtId="0" fontId="56" fillId="22" borderId="41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6" fillId="22" borderId="17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 vertical="center" wrapText="1"/>
    </xf>
    <xf numFmtId="0" fontId="56" fillId="22" borderId="14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10" fillId="15" borderId="8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10" fillId="15" borderId="14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61" fillId="22" borderId="45" xfId="0" applyFont="1" applyFill="1" applyBorder="1" applyAlignment="1" applyProtection="1">
      <alignment horizontal="center" vertical="center"/>
      <protection hidden="1"/>
    </xf>
    <xf numFmtId="0" fontId="0" fillId="0" borderId="70" xfId="0" applyBorder="1" applyAlignment="1">
      <alignment horizontal="center" vertical="center"/>
    </xf>
    <xf numFmtId="0" fontId="61" fillId="22" borderId="41" xfId="0" applyFont="1" applyFill="1" applyBorder="1" applyAlignment="1" applyProtection="1">
      <alignment horizontal="center" vertical="center"/>
      <protection hidden="1"/>
    </xf>
    <xf numFmtId="0" fontId="0" fillId="0" borderId="90" xfId="0" applyBorder="1" applyAlignment="1">
      <alignment horizontal="center" vertical="center"/>
    </xf>
    <xf numFmtId="0" fontId="6" fillId="15" borderId="4" xfId="0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left" vertical="center" wrapText="1"/>
    </xf>
    <xf numFmtId="0" fontId="6" fillId="15" borderId="5" xfId="0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>
      <alignment horizontal="left" vertical="center" wrapText="1"/>
    </xf>
    <xf numFmtId="0" fontId="9" fillId="5" borderId="21" xfId="0" applyFont="1" applyFill="1" applyBorder="1" applyAlignment="1" applyProtection="1">
      <alignment horizontal="center" vertical="center"/>
      <protection hidden="1"/>
    </xf>
    <xf numFmtId="0" fontId="9" fillId="5" borderId="55" xfId="0" applyFont="1" applyFill="1" applyBorder="1" applyAlignment="1" applyProtection="1">
      <alignment horizontal="center" vertical="center"/>
      <protection hidden="1"/>
    </xf>
    <xf numFmtId="0" fontId="0" fillId="0" borderId="55" xfId="0" applyBorder="1" applyProtection="1">
      <protection hidden="1"/>
    </xf>
    <xf numFmtId="0" fontId="0" fillId="0" borderId="24" xfId="0" applyBorder="1" applyProtection="1">
      <protection hidden="1"/>
    </xf>
    <xf numFmtId="0" fontId="20" fillId="0" borderId="8" xfId="0" applyFont="1" applyBorder="1" applyAlignment="1">
      <alignment horizontal="left" vertical="center"/>
    </xf>
    <xf numFmtId="0" fontId="24" fillId="12" borderId="69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0" fillId="12" borderId="28" xfId="0" applyFill="1" applyBorder="1"/>
    <xf numFmtId="0" fontId="0" fillId="12" borderId="70" xfId="0" applyFill="1" applyBorder="1"/>
    <xf numFmtId="0" fontId="56" fillId="22" borderId="88" xfId="0" applyFont="1" applyFill="1" applyBorder="1" applyAlignment="1" applyProtection="1">
      <alignment horizontal="center" vertical="center"/>
      <protection hidden="1"/>
    </xf>
    <xf numFmtId="0" fontId="58" fillId="22" borderId="91" xfId="0" applyFont="1" applyFill="1" applyBorder="1" applyAlignment="1" applyProtection="1">
      <alignment vertical="center"/>
      <protection hidden="1"/>
    </xf>
    <xf numFmtId="0" fontId="56" fillId="22" borderId="31" xfId="0" applyFont="1" applyFill="1" applyBorder="1" applyAlignment="1" applyProtection="1">
      <alignment horizontal="center" vertical="center"/>
      <protection hidden="1"/>
    </xf>
    <xf numFmtId="0" fontId="19" fillId="6" borderId="47" xfId="0" applyFont="1" applyFill="1" applyBorder="1" applyAlignment="1" applyProtection="1">
      <alignment horizontal="center" vertical="center"/>
      <protection hidden="1"/>
    </xf>
    <xf numFmtId="0" fontId="74" fillId="0" borderId="65" xfId="0" applyFont="1" applyBorder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66" xfId="0" applyBorder="1" applyAlignment="1" applyProtection="1">
      <alignment wrapText="1"/>
      <protection hidden="1"/>
    </xf>
    <xf numFmtId="0" fontId="6" fillId="11" borderId="49" xfId="0" applyFont="1" applyFill="1" applyBorder="1" applyAlignment="1" applyProtection="1">
      <alignment horizontal="center" vertical="center" wrapText="1"/>
      <protection hidden="1"/>
    </xf>
    <xf numFmtId="0" fontId="6" fillId="11" borderId="59" xfId="0" applyFont="1" applyFill="1" applyBorder="1" applyAlignment="1" applyProtection="1">
      <alignment horizontal="center" vertical="center" wrapText="1"/>
      <protection hidden="1"/>
    </xf>
    <xf numFmtId="0" fontId="6" fillId="10" borderId="49" xfId="0" applyFont="1" applyFill="1" applyBorder="1" applyAlignment="1" applyProtection="1">
      <alignment horizontal="center" vertical="center" wrapText="1"/>
      <protection hidden="1"/>
    </xf>
    <xf numFmtId="0" fontId="6" fillId="10" borderId="59" xfId="0" applyFont="1" applyFill="1" applyBorder="1" applyAlignment="1" applyProtection="1">
      <alignment horizontal="center" vertical="center" wrapText="1"/>
      <protection hidden="1"/>
    </xf>
    <xf numFmtId="0" fontId="6" fillId="10" borderId="11" xfId="0" applyFont="1" applyFill="1" applyBorder="1" applyAlignment="1" applyProtection="1">
      <alignment horizontal="center" vertical="center" wrapText="1"/>
      <protection hidden="1"/>
    </xf>
    <xf numFmtId="0" fontId="6" fillId="10" borderId="12" xfId="0" applyFont="1" applyFill="1" applyBorder="1" applyAlignment="1" applyProtection="1">
      <alignment horizontal="center" vertical="center" wrapText="1"/>
      <protection hidden="1"/>
    </xf>
    <xf numFmtId="0" fontId="6" fillId="11" borderId="19" xfId="0" applyFont="1" applyFill="1" applyBorder="1" applyAlignment="1" applyProtection="1">
      <alignment horizontal="center" vertical="center" wrapText="1"/>
      <protection hidden="1"/>
    </xf>
    <xf numFmtId="0" fontId="6" fillId="11" borderId="92" xfId="0" applyFont="1" applyFill="1" applyBorder="1" applyAlignment="1" applyProtection="1">
      <alignment horizontal="center" vertical="center" wrapText="1"/>
      <protection hidden="1"/>
    </xf>
    <xf numFmtId="0" fontId="6" fillId="11" borderId="93" xfId="0" applyFont="1" applyFill="1" applyBorder="1" applyAlignment="1" applyProtection="1">
      <alignment horizontal="center" vertical="center" wrapText="1"/>
      <protection hidden="1"/>
    </xf>
    <xf numFmtId="0" fontId="6" fillId="11" borderId="94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11" fillId="10" borderId="31" xfId="0" applyFont="1" applyFill="1" applyBorder="1" applyAlignment="1" applyProtection="1">
      <alignment horizontal="left" vertical="center"/>
      <protection hidden="1"/>
    </xf>
    <xf numFmtId="0" fontId="11" fillId="11" borderId="65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15" borderId="9" xfId="0" applyFont="1" applyFill="1" applyBorder="1" applyAlignment="1">
      <alignment horizontal="center" vertical="center" wrapText="1"/>
    </xf>
    <xf numFmtId="0" fontId="39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/>
    <xf numFmtId="0" fontId="17" fillId="0" borderId="8" xfId="0" applyFont="1" applyBorder="1" applyAlignment="1">
      <alignment wrapText="1"/>
    </xf>
    <xf numFmtId="0" fontId="40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39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2" fillId="0" borderId="24" xfId="0" applyFont="1" applyBorder="1" applyAlignment="1" applyProtection="1">
      <alignment horizontal="center" vertical="center"/>
      <protection hidden="1"/>
    </xf>
    <xf numFmtId="0" fontId="52" fillId="0" borderId="14" xfId="0" applyFont="1" applyBorder="1" applyAlignment="1" applyProtection="1">
      <alignment horizontal="center" vertical="center"/>
      <protection hidden="1"/>
    </xf>
    <xf numFmtId="0" fontId="52" fillId="0" borderId="16" xfId="0" applyFont="1" applyBorder="1" applyAlignment="1" applyProtection="1">
      <alignment horizontal="center" vertical="center"/>
      <protection hidden="1"/>
    </xf>
    <xf numFmtId="0" fontId="57" fillId="22" borderId="28" xfId="0" applyFont="1" applyFill="1" applyBorder="1" applyAlignment="1" applyProtection="1">
      <alignment horizontal="center" vertical="center" wrapText="1"/>
      <protection hidden="1"/>
    </xf>
    <xf numFmtId="0" fontId="57" fillId="22" borderId="41" xfId="0" applyFont="1" applyFill="1" applyBorder="1" applyAlignment="1" applyProtection="1">
      <alignment horizontal="center" vertical="center" wrapText="1"/>
      <protection hidden="1"/>
    </xf>
    <xf numFmtId="0" fontId="57" fillId="22" borderId="29" xfId="0" applyFont="1" applyFill="1" applyBorder="1" applyAlignment="1" applyProtection="1">
      <alignment horizontal="center" vertical="center" wrapText="1"/>
      <protection hidden="1"/>
    </xf>
    <xf numFmtId="0" fontId="52" fillId="0" borderId="57" xfId="0" applyFont="1" applyBorder="1" applyAlignment="1" applyProtection="1">
      <alignment horizontal="center" vertical="center"/>
      <protection hidden="1"/>
    </xf>
    <xf numFmtId="0" fontId="52" fillId="0" borderId="47" xfId="0" applyFont="1" applyBorder="1" applyAlignment="1" applyProtection="1">
      <alignment horizontal="center" vertical="center"/>
      <protection hidden="1"/>
    </xf>
    <xf numFmtId="0" fontId="10" fillId="10" borderId="31" xfId="0" applyFont="1" applyFill="1" applyBorder="1" applyAlignment="1" applyProtection="1">
      <alignment horizontal="center" vertical="center" wrapText="1"/>
      <protection hidden="1"/>
    </xf>
    <xf numFmtId="0" fontId="10" fillId="10" borderId="32" xfId="0" applyFont="1" applyFill="1" applyBorder="1" applyAlignment="1" applyProtection="1">
      <alignment horizontal="center" vertical="center" wrapText="1"/>
      <protection hidden="1"/>
    </xf>
    <xf numFmtId="0" fontId="10" fillId="10" borderId="51" xfId="0" applyFont="1" applyFill="1" applyBorder="1" applyAlignment="1" applyProtection="1">
      <alignment horizontal="center" vertical="center" wrapText="1"/>
      <protection hidden="1"/>
    </xf>
    <xf numFmtId="0" fontId="60" fillId="22" borderId="68" xfId="0" applyFont="1" applyFill="1" applyBorder="1" applyAlignment="1" applyProtection="1">
      <alignment horizontal="center" vertical="center"/>
      <protection hidden="1"/>
    </xf>
    <xf numFmtId="0" fontId="0" fillId="0" borderId="32" xfId="0" applyBorder="1" applyAlignment="1">
      <alignment horizontal="center" vertical="center"/>
    </xf>
    <xf numFmtId="0" fontId="52" fillId="0" borderId="18" xfId="0" applyFont="1" applyBorder="1" applyAlignment="1" applyProtection="1">
      <alignment horizontal="center" vertical="center"/>
      <protection hidden="1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2" fillId="0" borderId="15" xfId="0" applyFont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vertical="center"/>
    </xf>
    <xf numFmtId="0" fontId="52" fillId="0" borderId="22" xfId="0" applyFont="1" applyBorder="1" applyAlignment="1" applyProtection="1">
      <alignment horizontal="center" vertical="center"/>
      <protection hidden="1"/>
    </xf>
    <xf numFmtId="0" fontId="52" fillId="0" borderId="1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56" fillId="22" borderId="31" xfId="0" applyFont="1" applyFill="1" applyBorder="1" applyAlignment="1" applyProtection="1">
      <alignment horizontal="center" vertical="center" wrapText="1"/>
      <protection hidden="1"/>
    </xf>
    <xf numFmtId="0" fontId="58" fillId="22" borderId="32" xfId="0" applyFont="1" applyFill="1" applyBorder="1" applyAlignment="1" applyProtection="1">
      <alignment horizontal="center" vertical="center" wrapText="1"/>
      <protection hidden="1"/>
    </xf>
    <xf numFmtId="0" fontId="58" fillId="22" borderId="51" xfId="0" applyFont="1" applyFill="1" applyBorder="1" applyAlignment="1" applyProtection="1">
      <alignment horizontal="center" vertical="center" wrapText="1"/>
      <protection hidden="1"/>
    </xf>
    <xf numFmtId="0" fontId="34" fillId="12" borderId="46" xfId="0" applyFont="1" applyFill="1" applyBorder="1" applyAlignment="1" applyProtection="1">
      <alignment horizontal="center"/>
      <protection hidden="1"/>
    </xf>
    <xf numFmtId="0" fontId="34" fillId="12" borderId="0" xfId="0" applyFont="1" applyFill="1" applyAlignment="1" applyProtection="1">
      <alignment horizontal="center"/>
      <protection hidden="1"/>
    </xf>
    <xf numFmtId="0" fontId="0" fillId="12" borderId="0" xfId="0" applyFill="1" applyProtection="1">
      <protection hidden="1"/>
    </xf>
    <xf numFmtId="0" fontId="76" fillId="0" borderId="0" xfId="0" applyFont="1" applyAlignment="1" applyProtection="1">
      <alignment horizontal="center" vertical="center" wrapText="1"/>
      <protection hidden="1"/>
    </xf>
    <xf numFmtId="0" fontId="52" fillId="0" borderId="10" xfId="0" applyFont="1" applyBorder="1" applyAlignment="1" applyProtection="1">
      <alignment horizontal="center" vertical="center"/>
      <protection hidden="1"/>
    </xf>
    <xf numFmtId="0" fontId="52" fillId="0" borderId="26" xfId="0" applyFont="1" applyBorder="1" applyAlignment="1" applyProtection="1">
      <alignment horizontal="center" vertical="center"/>
      <protection hidden="1"/>
    </xf>
    <xf numFmtId="0" fontId="56" fillId="22" borderId="53" xfId="0" applyFont="1" applyFill="1" applyBorder="1" applyAlignment="1" applyProtection="1">
      <alignment horizontal="center" vertical="center" wrapText="1"/>
      <protection hidden="1"/>
    </xf>
    <xf numFmtId="0" fontId="58" fillId="22" borderId="41" xfId="0" applyFont="1" applyFill="1" applyBorder="1" applyAlignment="1" applyProtection="1">
      <alignment horizontal="center" vertical="center" wrapText="1"/>
      <protection hidden="1"/>
    </xf>
    <xf numFmtId="0" fontId="58" fillId="22" borderId="29" xfId="0" applyFont="1" applyFill="1" applyBorder="1" applyAlignment="1" applyProtection="1">
      <alignment horizontal="center" vertical="center" wrapText="1"/>
      <protection hidden="1"/>
    </xf>
    <xf numFmtId="0" fontId="58" fillId="22" borderId="60" xfId="0" applyFont="1" applyFill="1" applyBorder="1" applyAlignment="1" applyProtection="1">
      <alignment horizontal="center" vertical="center" wrapText="1"/>
      <protection hidden="1"/>
    </xf>
    <xf numFmtId="0" fontId="59" fillId="22" borderId="49" xfId="0" applyFont="1" applyFill="1" applyBorder="1" applyAlignment="1" applyProtection="1">
      <alignment horizontal="center"/>
      <protection hidden="1"/>
    </xf>
    <xf numFmtId="0" fontId="59" fillId="22" borderId="58" xfId="0" applyFont="1" applyFill="1" applyBorder="1" applyAlignment="1" applyProtection="1">
      <alignment horizontal="center"/>
      <protection hidden="1"/>
    </xf>
    <xf numFmtId="0" fontId="59" fillId="22" borderId="59" xfId="0" applyFont="1" applyFill="1" applyBorder="1" applyAlignment="1" applyProtection="1">
      <alignment horizontal="center"/>
      <protection hidden="1"/>
    </xf>
    <xf numFmtId="0" fontId="60" fillId="22" borderId="49" xfId="0" applyFont="1" applyFill="1" applyBorder="1" applyAlignment="1" applyProtection="1">
      <alignment horizontal="center" vertical="center"/>
      <protection hidden="1"/>
    </xf>
    <xf numFmtId="0" fontId="60" fillId="22" borderId="58" xfId="0" applyFont="1" applyFill="1" applyBorder="1" applyAlignment="1" applyProtection="1">
      <alignment horizontal="center" vertical="center"/>
      <protection hidden="1"/>
    </xf>
    <xf numFmtId="0" fontId="60" fillId="22" borderId="59" xfId="0" applyFont="1" applyFill="1" applyBorder="1" applyAlignment="1" applyProtection="1">
      <alignment horizontal="center" vertical="center"/>
      <protection hidden="1"/>
    </xf>
    <xf numFmtId="0" fontId="166" fillId="20" borderId="4" xfId="0" applyFont="1" applyFill="1" applyBorder="1" applyAlignment="1">
      <alignment horizontal="left" vertical="center" wrapText="1"/>
    </xf>
    <xf numFmtId="0" fontId="166" fillId="20" borderId="23" xfId="0" applyFont="1" applyFill="1" applyBorder="1" applyAlignment="1">
      <alignment horizontal="left" vertical="center" wrapText="1"/>
    </xf>
    <xf numFmtId="0" fontId="168" fillId="20" borderId="9" xfId="0" applyFont="1" applyFill="1" applyBorder="1" applyAlignment="1">
      <alignment horizontal="left" vertical="center" wrapText="1"/>
    </xf>
    <xf numFmtId="0" fontId="168" fillId="20" borderId="44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 applyProtection="1">
      <alignment horizontal="left" vertical="center" wrapText="1"/>
      <protection hidden="1"/>
    </xf>
    <xf numFmtId="0" fontId="0" fillId="0" borderId="32" xfId="0" applyBorder="1" applyAlignment="1">
      <alignment wrapText="1"/>
    </xf>
    <xf numFmtId="0" fontId="0" fillId="0" borderId="51" xfId="0" applyBorder="1" applyAlignment="1">
      <alignment wrapText="1"/>
    </xf>
    <xf numFmtId="0" fontId="19" fillId="10" borderId="31" xfId="0" applyFont="1" applyFill="1" applyBorder="1" applyAlignment="1" applyProtection="1">
      <alignment horizontal="left" vertical="center" wrapText="1"/>
      <protection hidden="1"/>
    </xf>
    <xf numFmtId="0" fontId="18" fillId="0" borderId="32" xfId="0" applyFont="1" applyBorder="1" applyAlignment="1" applyProtection="1">
      <alignment wrapText="1"/>
      <protection hidden="1"/>
    </xf>
    <xf numFmtId="0" fontId="18" fillId="0" borderId="51" xfId="0" applyFont="1" applyBorder="1" applyAlignment="1" applyProtection="1">
      <alignment wrapText="1"/>
      <protection hidden="1"/>
    </xf>
    <xf numFmtId="0" fontId="10" fillId="11" borderId="31" xfId="0" applyFont="1" applyFill="1" applyBorder="1" applyAlignment="1" applyProtection="1">
      <alignment horizontal="center" vertical="center" wrapText="1"/>
      <protection hidden="1"/>
    </xf>
    <xf numFmtId="0" fontId="10" fillId="11" borderId="32" xfId="0" applyFont="1" applyFill="1" applyBorder="1" applyAlignment="1" applyProtection="1">
      <alignment horizontal="center" vertical="center" wrapText="1"/>
      <protection hidden="1"/>
    </xf>
    <xf numFmtId="0" fontId="10" fillId="11" borderId="51" xfId="0" applyFont="1" applyFill="1" applyBorder="1" applyAlignment="1" applyProtection="1">
      <alignment horizontal="center" vertical="center" wrapText="1"/>
      <protection hidden="1"/>
    </xf>
    <xf numFmtId="0" fontId="66" fillId="12" borderId="45" xfId="0" applyFont="1" applyFill="1" applyBorder="1" applyAlignment="1">
      <alignment horizontal="center" vertical="center" wrapText="1"/>
    </xf>
    <xf numFmtId="0" fontId="66" fillId="0" borderId="28" xfId="0" applyFont="1" applyBorder="1" applyAlignment="1">
      <alignment horizontal="center" vertical="center" wrapText="1"/>
    </xf>
    <xf numFmtId="0" fontId="66" fillId="0" borderId="53" xfId="0" applyFont="1" applyBorder="1" applyAlignment="1">
      <alignment horizontal="center" vertical="center" wrapText="1"/>
    </xf>
    <xf numFmtId="0" fontId="53" fillId="12" borderId="4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8" fillId="20" borderId="4" xfId="0" applyFont="1" applyFill="1" applyBorder="1" applyAlignment="1">
      <alignment horizontal="left" vertical="center" wrapText="1"/>
    </xf>
    <xf numFmtId="0" fontId="168" fillId="20" borderId="39" xfId="0" applyFont="1" applyFill="1" applyBorder="1" applyAlignment="1">
      <alignment horizontal="left" vertical="center" wrapText="1"/>
    </xf>
    <xf numFmtId="0" fontId="168" fillId="20" borderId="23" xfId="0" applyFont="1" applyFill="1" applyBorder="1" applyAlignment="1">
      <alignment horizontal="left" vertical="center" wrapText="1"/>
    </xf>
    <xf numFmtId="0" fontId="165" fillId="0" borderId="4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6" fillId="12" borderId="6" xfId="0" applyFont="1" applyFill="1" applyBorder="1" applyAlignment="1">
      <alignment horizontal="center" vertical="center" wrapText="1"/>
    </xf>
    <xf numFmtId="0" fontId="66" fillId="0" borderId="36" xfId="0" applyFont="1" applyBorder="1" applyAlignment="1">
      <alignment wrapText="1"/>
    </xf>
    <xf numFmtId="0" fontId="38" fillId="0" borderId="43" xfId="0" applyFont="1" applyBorder="1" applyAlignment="1">
      <alignment wrapText="1"/>
    </xf>
    <xf numFmtId="0" fontId="0" fillId="0" borderId="44" xfId="0" applyBorder="1" applyAlignment="1">
      <alignment horizontal="left" vertical="center" wrapText="1"/>
    </xf>
    <xf numFmtId="0" fontId="61" fillId="22" borderId="31" xfId="0" applyFont="1" applyFill="1" applyBorder="1" applyAlignment="1" applyProtection="1">
      <alignment horizontal="center" vertical="center" wrapText="1"/>
      <protection hidden="1"/>
    </xf>
    <xf numFmtId="0" fontId="16" fillId="6" borderId="32" xfId="0" applyFont="1" applyFill="1" applyBorder="1" applyAlignment="1" applyProtection="1">
      <alignment horizontal="left" vertical="center" wrapText="1"/>
      <protection hidden="1"/>
    </xf>
    <xf numFmtId="0" fontId="16" fillId="6" borderId="51" xfId="0" applyFont="1" applyFill="1" applyBorder="1" applyAlignment="1" applyProtection="1">
      <alignment horizontal="left" vertical="center" wrapText="1"/>
      <protection hidden="1"/>
    </xf>
    <xf numFmtId="0" fontId="16" fillId="11" borderId="31" xfId="0" applyFont="1" applyFill="1" applyBorder="1" applyAlignment="1" applyProtection="1">
      <alignment horizontal="left" vertical="center"/>
      <protection hidden="1"/>
    </xf>
    <xf numFmtId="0" fontId="16" fillId="11" borderId="32" xfId="0" applyFont="1" applyFill="1" applyBorder="1" applyAlignment="1" applyProtection="1">
      <alignment horizontal="left" vertical="center"/>
      <protection hidden="1"/>
    </xf>
    <xf numFmtId="0" fontId="16" fillId="11" borderId="51" xfId="0" applyFont="1" applyFill="1" applyBorder="1" applyAlignment="1" applyProtection="1">
      <alignment horizontal="left" vertical="center"/>
      <protection hidden="1"/>
    </xf>
    <xf numFmtId="0" fontId="169" fillId="15" borderId="64" xfId="0" applyFont="1" applyFill="1" applyBorder="1" applyAlignment="1" applyProtection="1">
      <alignment horizontal="center" textRotation="90" wrapText="1"/>
      <protection hidden="1"/>
    </xf>
    <xf numFmtId="0" fontId="170" fillId="15" borderId="64" xfId="0" applyFont="1" applyFill="1" applyBorder="1" applyAlignment="1" applyProtection="1">
      <alignment horizontal="center" textRotation="90" wrapText="1"/>
      <protection hidden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67" fillId="0" borderId="46" xfId="0" applyFont="1" applyBorder="1" applyAlignment="1" applyProtection="1">
      <alignment vertical="center" wrapText="1"/>
      <protection hidden="1"/>
    </xf>
    <xf numFmtId="0" fontId="58" fillId="0" borderId="41" xfId="0" applyFont="1" applyBorder="1" applyAlignment="1" applyProtection="1">
      <alignment vertical="center" wrapText="1"/>
      <protection hidden="1"/>
    </xf>
    <xf numFmtId="0" fontId="132" fillId="0" borderId="28" xfId="0" applyFont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/>
      <protection hidden="1"/>
    </xf>
    <xf numFmtId="0" fontId="16" fillId="10" borderId="31" xfId="0" applyFont="1" applyFill="1" applyBorder="1" applyAlignment="1" applyProtection="1">
      <alignment horizontal="left" vertical="center"/>
      <protection hidden="1"/>
    </xf>
    <xf numFmtId="0" fontId="78" fillId="0" borderId="32" xfId="0" applyFont="1" applyBorder="1" applyProtection="1">
      <protection hidden="1"/>
    </xf>
    <xf numFmtId="0" fontId="78" fillId="0" borderId="51" xfId="0" applyFont="1" applyBorder="1" applyProtection="1">
      <protection hidden="1"/>
    </xf>
    <xf numFmtId="0" fontId="16" fillId="11" borderId="31" xfId="0" applyFont="1" applyFill="1" applyBorder="1" applyAlignment="1" applyProtection="1">
      <alignment horizontal="left" vertical="center" wrapText="1"/>
      <protection hidden="1"/>
    </xf>
    <xf numFmtId="0" fontId="0" fillId="0" borderId="32" xfId="0" applyBorder="1" applyAlignment="1">
      <alignment horizontal="left" vertical="center" wrapText="1"/>
    </xf>
    <xf numFmtId="0" fontId="70" fillId="0" borderId="39" xfId="0" applyFont="1" applyBorder="1" applyAlignment="1">
      <alignment horizontal="center" vertical="center" wrapText="1"/>
    </xf>
    <xf numFmtId="0" fontId="70" fillId="0" borderId="44" xfId="0" applyFont="1" applyBorder="1" applyAlignment="1">
      <alignment horizontal="center" vertical="center" wrapText="1"/>
    </xf>
    <xf numFmtId="0" fontId="39" fillId="0" borderId="54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7" fillId="0" borderId="9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39" fillId="0" borderId="46" xfId="0" applyFont="1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171" fillId="0" borderId="0" xfId="0" applyFont="1" applyAlignment="1">
      <alignment horizontal="center" vertical="center" wrapText="1"/>
    </xf>
    <xf numFmtId="0" fontId="172" fillId="0" borderId="0" xfId="0" applyFont="1" applyAlignment="1">
      <alignment horizontal="center" vertical="center" wrapText="1"/>
    </xf>
    <xf numFmtId="0" fontId="88" fillId="15" borderId="0" xfId="3" applyFont="1" applyFill="1" applyAlignment="1" applyProtection="1">
      <alignment horizontal="left" wrapText="1"/>
      <protection hidden="1"/>
    </xf>
    <xf numFmtId="0" fontId="88" fillId="15" borderId="0" xfId="3" applyFont="1" applyFill="1" applyAlignment="1">
      <alignment horizontal="left" wrapText="1"/>
    </xf>
    <xf numFmtId="0" fontId="81" fillId="15" borderId="0" xfId="3" applyFill="1" applyAlignment="1">
      <alignment horizontal="left" wrapText="1"/>
    </xf>
    <xf numFmtId="0" fontId="97" fillId="27" borderId="8" xfId="3" applyFont="1" applyFill="1" applyBorder="1" applyAlignment="1" applyProtection="1">
      <alignment horizontal="center" vertical="center" wrapText="1"/>
      <protection locked="0"/>
    </xf>
    <xf numFmtId="0" fontId="93" fillId="25" borderId="0" xfId="3" applyFont="1" applyFill="1" applyAlignment="1" applyProtection="1">
      <alignment horizontal="left" vertical="center" wrapText="1"/>
      <protection hidden="1"/>
    </xf>
    <xf numFmtId="0" fontId="89" fillId="15" borderId="0" xfId="3" applyFont="1" applyFill="1" applyAlignment="1" applyProtection="1">
      <alignment horizontal="left" vertical="center" wrapText="1"/>
      <protection hidden="1"/>
    </xf>
    <xf numFmtId="0" fontId="91" fillId="25" borderId="66" xfId="3" applyFont="1" applyFill="1" applyBorder="1" applyAlignment="1" applyProtection="1">
      <alignment horizontal="left" vertical="center" textRotation="90" wrapText="1"/>
      <protection hidden="1"/>
    </xf>
    <xf numFmtId="0" fontId="91" fillId="25" borderId="66" xfId="3" applyFont="1" applyFill="1" applyBorder="1" applyAlignment="1">
      <alignment horizontal="left" vertical="center" wrapText="1"/>
    </xf>
    <xf numFmtId="0" fontId="95" fillId="25" borderId="0" xfId="3" applyFont="1" applyFill="1" applyAlignment="1" applyProtection="1">
      <alignment horizontal="center" vertical="center" wrapText="1"/>
      <protection hidden="1"/>
    </xf>
    <xf numFmtId="0" fontId="79" fillId="0" borderId="66" xfId="3" applyFont="1" applyBorder="1" applyAlignment="1">
      <alignment vertical="center" wrapText="1"/>
    </xf>
    <xf numFmtId="0" fontId="90" fillId="24" borderId="8" xfId="3" applyFont="1" applyFill="1" applyBorder="1" applyAlignment="1" applyProtection="1">
      <alignment horizontal="center" vertical="center" wrapText="1"/>
      <protection hidden="1"/>
    </xf>
    <xf numFmtId="0" fontId="81" fillId="0" borderId="8" xfId="3" applyBorder="1" applyAlignment="1">
      <alignment vertical="center" wrapText="1"/>
    </xf>
    <xf numFmtId="0" fontId="87" fillId="27" borderId="8" xfId="3" applyFont="1" applyFill="1" applyBorder="1" applyAlignment="1" applyProtection="1">
      <alignment horizontal="center" vertical="center" wrapText="1"/>
      <protection locked="0"/>
    </xf>
    <xf numFmtId="0" fontId="99" fillId="25" borderId="0" xfId="3" applyFont="1" applyFill="1" applyAlignment="1" applyProtection="1">
      <alignment horizontal="center" vertical="center" wrapText="1"/>
      <protection hidden="1"/>
    </xf>
    <xf numFmtId="0" fontId="94" fillId="18" borderId="8" xfId="3" applyFont="1" applyFill="1" applyBorder="1" applyAlignment="1" applyProtection="1">
      <alignment horizontal="center" vertical="center" wrapText="1"/>
      <protection hidden="1"/>
    </xf>
    <xf numFmtId="0" fontId="85" fillId="21" borderId="39" xfId="3" applyFont="1" applyFill="1" applyBorder="1" applyAlignment="1" applyProtection="1">
      <alignment horizontal="left" vertical="center" wrapText="1"/>
      <protection hidden="1"/>
    </xf>
    <xf numFmtId="0" fontId="90" fillId="24" borderId="21" xfId="3" applyFont="1" applyFill="1" applyBorder="1" applyAlignment="1" applyProtection="1">
      <alignment horizontal="center" vertical="center" wrapText="1"/>
      <protection hidden="1"/>
    </xf>
    <xf numFmtId="0" fontId="90" fillId="24" borderId="55" xfId="3" applyFont="1" applyFill="1" applyBorder="1" applyAlignment="1" applyProtection="1">
      <alignment horizontal="center" vertical="center" wrapText="1"/>
      <protection hidden="1"/>
    </xf>
    <xf numFmtId="0" fontId="90" fillId="24" borderId="56" xfId="3" applyFont="1" applyFill="1" applyBorder="1" applyAlignment="1" applyProtection="1">
      <alignment horizontal="center" vertical="center" wrapText="1"/>
      <protection hidden="1"/>
    </xf>
    <xf numFmtId="0" fontId="100" fillId="18" borderId="21" xfId="3" applyFont="1" applyFill="1" applyBorder="1" applyAlignment="1" applyProtection="1">
      <alignment horizontal="center" vertical="center" wrapText="1"/>
      <protection hidden="1"/>
    </xf>
    <xf numFmtId="0" fontId="100" fillId="18" borderId="55" xfId="3" applyFont="1" applyFill="1" applyBorder="1" applyAlignment="1" applyProtection="1">
      <alignment horizontal="center" vertical="center" wrapText="1"/>
      <protection hidden="1"/>
    </xf>
    <xf numFmtId="0" fontId="100" fillId="18" borderId="35" xfId="3" applyFont="1" applyFill="1" applyBorder="1" applyAlignment="1" applyProtection="1">
      <alignment horizontal="center" vertical="center" wrapText="1"/>
      <protection hidden="1"/>
    </xf>
    <xf numFmtId="0" fontId="100" fillId="18" borderId="38" xfId="3" applyFont="1" applyFill="1" applyBorder="1" applyAlignment="1" applyProtection="1">
      <alignment horizontal="center" vertical="center" wrapText="1"/>
      <protection hidden="1"/>
    </xf>
    <xf numFmtId="0" fontId="89" fillId="25" borderId="38" xfId="3" applyFont="1" applyFill="1" applyBorder="1" applyAlignment="1" applyProtection="1">
      <alignment horizontal="left" vertical="center" wrapText="1"/>
      <protection hidden="1"/>
    </xf>
    <xf numFmtId="0" fontId="89" fillId="25" borderId="65" xfId="3" applyFont="1" applyFill="1" applyBorder="1" applyAlignment="1" applyProtection="1">
      <alignment horizontal="left" vertical="center" wrapText="1"/>
      <protection hidden="1"/>
    </xf>
    <xf numFmtId="0" fontId="89" fillId="25" borderId="0" xfId="3" applyFont="1" applyFill="1" applyAlignment="1" applyProtection="1">
      <alignment horizontal="left" vertical="center" wrapText="1"/>
      <protection hidden="1"/>
    </xf>
    <xf numFmtId="0" fontId="99" fillId="25" borderId="65" xfId="3" applyFont="1" applyFill="1" applyBorder="1" applyAlignment="1">
      <alignment horizontal="left" vertical="center" wrapText="1"/>
    </xf>
    <xf numFmtId="0" fontId="99" fillId="25" borderId="0" xfId="3" applyFont="1" applyFill="1" applyAlignment="1">
      <alignment horizontal="left" vertical="center" wrapText="1"/>
    </xf>
    <xf numFmtId="0" fontId="82" fillId="15" borderId="20" xfId="3" applyFont="1" applyFill="1" applyBorder="1" applyAlignment="1" applyProtection="1">
      <alignment horizontal="left" vertical="center" wrapText="1"/>
      <protection hidden="1"/>
    </xf>
    <xf numFmtId="0" fontId="82" fillId="15" borderId="47" xfId="3" applyFont="1" applyFill="1" applyBorder="1" applyAlignment="1" applyProtection="1">
      <alignment horizontal="left" vertical="center" wrapText="1"/>
      <protection hidden="1"/>
    </xf>
    <xf numFmtId="0" fontId="97" fillId="28" borderId="8" xfId="3" applyFont="1" applyFill="1" applyBorder="1" applyAlignment="1" applyProtection="1">
      <alignment horizontal="center" vertical="center" wrapText="1"/>
      <protection locked="0"/>
    </xf>
    <xf numFmtId="0" fontId="97" fillId="27" borderId="20" xfId="3" applyFont="1" applyFill="1" applyBorder="1" applyAlignment="1" applyProtection="1">
      <alignment horizontal="center" vertical="center" wrapText="1"/>
      <protection locked="0"/>
    </xf>
    <xf numFmtId="0" fontId="85" fillId="21" borderId="39" xfId="3" applyFont="1" applyFill="1" applyBorder="1" applyAlignment="1" applyProtection="1">
      <alignment horizontal="right" vertical="center" wrapText="1"/>
      <protection hidden="1"/>
    </xf>
    <xf numFmtId="0" fontId="86" fillId="25" borderId="55" xfId="3" applyFont="1" applyFill="1" applyBorder="1" applyAlignment="1" applyProtection="1">
      <alignment horizontal="center" vertical="center" wrapText="1"/>
      <protection hidden="1"/>
    </xf>
    <xf numFmtId="0" fontId="86" fillId="25" borderId="0" xfId="3" applyFont="1" applyFill="1" applyAlignment="1" applyProtection="1">
      <alignment horizontal="center" vertical="center" wrapText="1"/>
      <protection hidden="1"/>
    </xf>
    <xf numFmtId="0" fontId="101" fillId="18" borderId="21" xfId="3" applyFont="1" applyFill="1" applyBorder="1" applyAlignment="1" applyProtection="1">
      <alignment horizontal="center" vertical="center" wrapText="1"/>
      <protection hidden="1"/>
    </xf>
    <xf numFmtId="0" fontId="101" fillId="18" borderId="55" xfId="3" applyFont="1" applyFill="1" applyBorder="1" applyAlignment="1" applyProtection="1">
      <alignment horizontal="center" vertical="center" wrapText="1"/>
      <protection hidden="1"/>
    </xf>
    <xf numFmtId="0" fontId="101" fillId="18" borderId="56" xfId="3" applyFont="1" applyFill="1" applyBorder="1" applyAlignment="1" applyProtection="1">
      <alignment horizontal="center" vertical="center" wrapText="1"/>
      <protection hidden="1"/>
    </xf>
    <xf numFmtId="0" fontId="101" fillId="18" borderId="35" xfId="3" applyFont="1" applyFill="1" applyBorder="1" applyAlignment="1" applyProtection="1">
      <alignment horizontal="center" vertical="center" wrapText="1"/>
      <protection hidden="1"/>
    </xf>
    <xf numFmtId="0" fontId="101" fillId="18" borderId="38" xfId="3" applyFont="1" applyFill="1" applyBorder="1" applyAlignment="1" applyProtection="1">
      <alignment horizontal="center" vertical="center" wrapText="1"/>
      <protection hidden="1"/>
    </xf>
    <xf numFmtId="0" fontId="101" fillId="18" borderId="57" xfId="3" applyFont="1" applyFill="1" applyBorder="1" applyAlignment="1" applyProtection="1">
      <alignment horizontal="center" vertical="center" wrapText="1"/>
      <protection hidden="1"/>
    </xf>
    <xf numFmtId="0" fontId="100" fillId="18" borderId="8" xfId="3" applyFont="1" applyFill="1" applyBorder="1" applyAlignment="1" applyProtection="1">
      <alignment horizontal="center" vertical="center" wrapText="1"/>
      <protection hidden="1"/>
    </xf>
    <xf numFmtId="166" fontId="87" fillId="21" borderId="9" xfId="3" applyNumberFormat="1" applyFont="1" applyFill="1" applyBorder="1" applyAlignment="1" applyProtection="1">
      <alignment horizontal="center" vertical="center" wrapText="1"/>
      <protection hidden="1"/>
    </xf>
    <xf numFmtId="166" fontId="87" fillId="21" borderId="39" xfId="3" applyNumberFormat="1" applyFont="1" applyFill="1" applyBorder="1" applyAlignment="1" applyProtection="1">
      <alignment horizontal="center" vertical="center" wrapText="1"/>
      <protection hidden="1"/>
    </xf>
    <xf numFmtId="166" fontId="87" fillId="21" borderId="23" xfId="3" applyNumberFormat="1" applyFont="1" applyFill="1" applyBorder="1" applyAlignment="1" applyProtection="1">
      <alignment horizontal="center" vertical="center" wrapText="1"/>
      <protection hidden="1"/>
    </xf>
    <xf numFmtId="0" fontId="87" fillId="21" borderId="9" xfId="3" applyFont="1" applyFill="1" applyBorder="1" applyAlignment="1" applyProtection="1">
      <alignment horizontal="center" vertical="center" wrapText="1"/>
      <protection hidden="1"/>
    </xf>
    <xf numFmtId="0" fontId="87" fillId="21" borderId="39" xfId="3" applyFont="1" applyFill="1" applyBorder="1" applyAlignment="1" applyProtection="1">
      <alignment horizontal="center" vertical="center" wrapText="1"/>
      <protection hidden="1"/>
    </xf>
    <xf numFmtId="166" fontId="90" fillId="21" borderId="8" xfId="3" applyNumberFormat="1" applyFont="1" applyFill="1" applyBorder="1" applyAlignment="1" applyProtection="1">
      <alignment horizontal="center" vertical="center" wrapText="1"/>
      <protection hidden="1"/>
    </xf>
    <xf numFmtId="0" fontId="100" fillId="18" borderId="56" xfId="3" applyFont="1" applyFill="1" applyBorder="1" applyAlignment="1" applyProtection="1">
      <alignment horizontal="center" vertical="center" wrapText="1"/>
      <protection hidden="1"/>
    </xf>
    <xf numFmtId="0" fontId="100" fillId="18" borderId="57" xfId="3" applyFont="1" applyFill="1" applyBorder="1" applyAlignment="1" applyProtection="1">
      <alignment horizontal="center" vertical="center" wrapText="1"/>
      <protection hidden="1"/>
    </xf>
    <xf numFmtId="0" fontId="106" fillId="5" borderId="45" xfId="3" applyFont="1" applyFill="1" applyBorder="1" applyAlignment="1" applyProtection="1">
      <alignment horizontal="left" vertical="center"/>
      <protection hidden="1"/>
    </xf>
    <xf numFmtId="0" fontId="9" fillId="5" borderId="28" xfId="3" applyFont="1" applyFill="1" applyBorder="1" applyAlignment="1" applyProtection="1">
      <alignment horizontal="left" vertical="center"/>
      <protection hidden="1"/>
    </xf>
    <xf numFmtId="0" fontId="81" fillId="0" borderId="28" xfId="3" applyBorder="1" applyAlignment="1" applyProtection="1">
      <alignment horizontal="left"/>
      <protection hidden="1"/>
    </xf>
    <xf numFmtId="0" fontId="81" fillId="0" borderId="53" xfId="3" applyBorder="1" applyAlignment="1" applyProtection="1">
      <alignment horizontal="left"/>
      <protection hidden="1"/>
    </xf>
    <xf numFmtId="0" fontId="81" fillId="0" borderId="8" xfId="3" applyBorder="1" applyAlignment="1" applyProtection="1">
      <alignment horizontal="center"/>
      <protection hidden="1"/>
    </xf>
    <xf numFmtId="0" fontId="99" fillId="0" borderId="46" xfId="3" applyFont="1" applyBorder="1" applyAlignment="1" applyProtection="1">
      <alignment horizontal="left" vertical="center" wrapText="1"/>
      <protection hidden="1"/>
    </xf>
    <xf numFmtId="0" fontId="99" fillId="0" borderId="0" xfId="3" applyFont="1" applyAlignment="1" applyProtection="1">
      <alignment horizontal="left" vertical="center" wrapText="1"/>
      <protection hidden="1"/>
    </xf>
    <xf numFmtId="0" fontId="99" fillId="0" borderId="64" xfId="3" applyFont="1" applyBorder="1" applyAlignment="1" applyProtection="1">
      <alignment horizontal="left" vertical="center" wrapText="1"/>
      <protection hidden="1"/>
    </xf>
    <xf numFmtId="0" fontId="103" fillId="25" borderId="0" xfId="3" applyFont="1" applyFill="1" applyAlignment="1" applyProtection="1">
      <alignment horizontal="center" vertical="center" wrapText="1"/>
      <protection hidden="1"/>
    </xf>
    <xf numFmtId="0" fontId="98" fillId="28" borderId="8" xfId="3" applyFont="1" applyFill="1" applyBorder="1" applyAlignment="1" applyProtection="1">
      <alignment horizontal="left" vertical="center" wrapText="1"/>
      <protection locked="0"/>
    </xf>
    <xf numFmtId="0" fontId="82" fillId="0" borderId="0" xfId="3" applyFont="1" applyAlignment="1" applyProtection="1">
      <alignment horizontal="left" vertical="center" wrapText="1"/>
      <protection hidden="1"/>
    </xf>
    <xf numFmtId="0" fontId="82" fillId="0" borderId="0" xfId="3" applyFont="1" applyAlignment="1">
      <alignment horizontal="left" vertical="center" wrapText="1"/>
    </xf>
    <xf numFmtId="0" fontId="85" fillId="0" borderId="0" xfId="3" applyFont="1" applyAlignment="1" applyProtection="1">
      <alignment horizontal="left" vertical="center" wrapText="1"/>
      <protection hidden="1"/>
    </xf>
    <xf numFmtId="0" fontId="85" fillId="0" borderId="0" xfId="3" applyFont="1" applyAlignment="1">
      <alignment horizontal="left" vertical="center" wrapText="1"/>
    </xf>
    <xf numFmtId="0" fontId="84" fillId="0" borderId="0" xfId="3" applyFont="1" applyAlignment="1">
      <alignment horizontal="left" vertical="center" wrapText="1"/>
    </xf>
    <xf numFmtId="0" fontId="84" fillId="0" borderId="0" xfId="3" applyFont="1" applyAlignment="1" applyProtection="1">
      <alignment vertical="center" wrapText="1"/>
      <protection hidden="1"/>
    </xf>
    <xf numFmtId="0" fontId="84" fillId="0" borderId="0" xfId="3" applyFont="1" applyAlignment="1">
      <alignment vertical="center" wrapText="1"/>
    </xf>
    <xf numFmtId="0" fontId="83" fillId="0" borderId="0" xfId="3" applyFont="1" applyAlignment="1" applyProtection="1">
      <alignment horizontal="left" vertical="center" wrapText="1"/>
      <protection hidden="1"/>
    </xf>
    <xf numFmtId="0" fontId="83" fillId="0" borderId="0" xfId="3" applyFont="1" applyAlignment="1">
      <alignment horizontal="left" vertical="center" wrapText="1"/>
    </xf>
    <xf numFmtId="0" fontId="120" fillId="5" borderId="21" xfId="3" applyFont="1" applyFill="1" applyBorder="1" applyAlignment="1" applyProtection="1">
      <alignment horizontal="center" vertical="center"/>
      <protection hidden="1"/>
    </xf>
    <xf numFmtId="0" fontId="121" fillId="5" borderId="55" xfId="3" applyFont="1" applyFill="1" applyBorder="1" applyAlignment="1" applyProtection="1">
      <alignment horizontal="center" vertical="center"/>
      <protection hidden="1"/>
    </xf>
    <xf numFmtId="0" fontId="122" fillId="0" borderId="55" xfId="3" applyFont="1" applyBorder="1" applyAlignment="1" applyProtection="1">
      <alignment horizontal="center"/>
      <protection hidden="1"/>
    </xf>
    <xf numFmtId="0" fontId="122" fillId="0" borderId="56" xfId="3" applyFont="1" applyBorder="1" applyAlignment="1" applyProtection="1">
      <alignment horizontal="center"/>
      <protection hidden="1"/>
    </xf>
    <xf numFmtId="0" fontId="17" fillId="0" borderId="0" xfId="0" applyFont="1"/>
    <xf numFmtId="0" fontId="108" fillId="0" borderId="0" xfId="3" applyFont="1" applyAlignment="1" applyProtection="1">
      <alignment vertical="center" wrapText="1"/>
      <protection hidden="1"/>
    </xf>
    <xf numFmtId="0" fontId="81" fillId="0" borderId="0" xfId="3" applyAlignment="1">
      <alignment vertical="center" wrapText="1"/>
    </xf>
    <xf numFmtId="0" fontId="108" fillId="0" borderId="0" xfId="3" applyFont="1" applyAlignment="1" applyProtection="1">
      <alignment horizontal="left" vertical="center" wrapText="1"/>
      <protection hidden="1"/>
    </xf>
    <xf numFmtId="0" fontId="81" fillId="0" borderId="0" xfId="3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9" fillId="32" borderId="21" xfId="3" applyFont="1" applyFill="1" applyBorder="1" applyAlignment="1" applyProtection="1">
      <alignment horizontal="center" vertical="center"/>
      <protection hidden="1"/>
    </xf>
    <xf numFmtId="0" fontId="9" fillId="32" borderId="55" xfId="3" applyFont="1" applyFill="1" applyBorder="1" applyAlignment="1" applyProtection="1">
      <alignment horizontal="center" vertical="center"/>
      <protection hidden="1"/>
    </xf>
    <xf numFmtId="0" fontId="81" fillId="32" borderId="55" xfId="3" applyFill="1" applyBorder="1" applyProtection="1">
      <protection hidden="1"/>
    </xf>
    <xf numFmtId="0" fontId="123" fillId="0" borderId="21" xfId="3" applyFont="1" applyBorder="1" applyAlignment="1" applyProtection="1">
      <alignment horizontal="left" vertical="center" wrapText="1"/>
      <protection hidden="1"/>
    </xf>
    <xf numFmtId="0" fontId="123" fillId="0" borderId="55" xfId="3" applyFont="1" applyBorder="1" applyAlignment="1" applyProtection="1">
      <alignment horizontal="left" vertical="center" wrapText="1"/>
      <protection hidden="1"/>
    </xf>
    <xf numFmtId="0" fontId="123" fillId="0" borderId="0" xfId="3" applyFont="1" applyAlignment="1" applyProtection="1">
      <alignment horizontal="left" vertical="center" wrapText="1"/>
      <protection hidden="1"/>
    </xf>
    <xf numFmtId="0" fontId="90" fillId="24" borderId="65" xfId="3" applyFont="1" applyFill="1" applyBorder="1" applyAlignment="1" applyProtection="1">
      <alignment horizontal="center" vertical="center" wrapText="1"/>
      <protection hidden="1"/>
    </xf>
    <xf numFmtId="0" fontId="90" fillId="24" borderId="0" xfId="3" applyFont="1" applyFill="1" applyAlignment="1" applyProtection="1">
      <alignment horizontal="center" vertical="center" wrapText="1"/>
      <protection hidden="1"/>
    </xf>
    <xf numFmtId="0" fontId="90" fillId="24" borderId="66" xfId="3" applyFont="1" applyFill="1" applyBorder="1" applyAlignment="1" applyProtection="1">
      <alignment horizontal="center" vertical="center" wrapText="1"/>
      <protection hidden="1"/>
    </xf>
    <xf numFmtId="0" fontId="82" fillId="24" borderId="0" xfId="3" applyFont="1" applyFill="1" applyAlignment="1" applyProtection="1">
      <alignment horizontal="center" vertical="center" wrapText="1"/>
      <protection hidden="1"/>
    </xf>
    <xf numFmtId="0" fontId="85" fillId="26" borderId="9" xfId="3" applyFont="1" applyFill="1" applyBorder="1" applyAlignment="1" applyProtection="1">
      <alignment horizontal="center" vertical="center" wrapText="1"/>
      <protection hidden="1"/>
    </xf>
    <xf numFmtId="0" fontId="85" fillId="26" borderId="39" xfId="3" applyFont="1" applyFill="1" applyBorder="1" applyAlignment="1" applyProtection="1">
      <alignment horizontal="center" vertical="center" wrapText="1"/>
      <protection hidden="1"/>
    </xf>
    <xf numFmtId="0" fontId="85" fillId="31" borderId="20" xfId="3" applyFont="1" applyFill="1" applyBorder="1" applyAlignment="1" applyProtection="1">
      <alignment horizontal="center" vertical="center" textRotation="90" wrapText="1"/>
      <protection hidden="1"/>
    </xf>
    <xf numFmtId="0" fontId="85" fillId="31" borderId="67" xfId="3" applyFont="1" applyFill="1" applyBorder="1" applyAlignment="1" applyProtection="1">
      <alignment horizontal="center" vertical="center" textRotation="90" wrapText="1"/>
      <protection hidden="1"/>
    </xf>
    <xf numFmtId="0" fontId="115" fillId="15" borderId="65" xfId="3" applyFont="1" applyFill="1" applyBorder="1" applyAlignment="1" applyProtection="1">
      <alignment horizontal="center" vertical="center" wrapText="1"/>
      <protection hidden="1"/>
    </xf>
    <xf numFmtId="0" fontId="115" fillId="0" borderId="0" xfId="3" applyFont="1" applyAlignment="1">
      <alignment horizontal="center" vertical="center" wrapText="1"/>
    </xf>
    <xf numFmtId="0" fontId="88" fillId="15" borderId="0" xfId="3" applyFont="1" applyFill="1" applyAlignment="1" applyProtection="1">
      <alignment horizontal="center" wrapText="1"/>
      <protection hidden="1"/>
    </xf>
    <xf numFmtId="0" fontId="88" fillId="15" borderId="0" xfId="3" applyFont="1" applyFill="1" applyAlignment="1">
      <alignment horizontal="center" wrapText="1"/>
    </xf>
    <xf numFmtId="0" fontId="81" fillId="15" borderId="0" xfId="3" applyFill="1" applyAlignment="1">
      <alignment horizontal="center" wrapText="1"/>
    </xf>
    <xf numFmtId="0" fontId="114" fillId="18" borderId="21" xfId="3" applyFont="1" applyFill="1" applyBorder="1" applyAlignment="1" applyProtection="1">
      <alignment horizontal="center" vertical="center" wrapText="1"/>
      <protection hidden="1"/>
    </xf>
    <xf numFmtId="0" fontId="114" fillId="18" borderId="55" xfId="3" applyFont="1" applyFill="1" applyBorder="1" applyAlignment="1" applyProtection="1">
      <alignment horizontal="center" vertical="center" wrapText="1"/>
      <protection hidden="1"/>
    </xf>
    <xf numFmtId="0" fontId="114" fillId="18" borderId="56" xfId="3" applyFont="1" applyFill="1" applyBorder="1" applyAlignment="1" applyProtection="1">
      <alignment horizontal="center" vertical="center" wrapText="1"/>
      <protection hidden="1"/>
    </xf>
    <xf numFmtId="0" fontId="114" fillId="18" borderId="65" xfId="3" applyFont="1" applyFill="1" applyBorder="1" applyAlignment="1" applyProtection="1">
      <alignment horizontal="center" vertical="center" wrapText="1"/>
      <protection hidden="1"/>
    </xf>
    <xf numFmtId="0" fontId="114" fillId="18" borderId="0" xfId="3" applyFont="1" applyFill="1" applyAlignment="1" applyProtection="1">
      <alignment horizontal="center" vertical="center" wrapText="1"/>
      <protection hidden="1"/>
    </xf>
    <xf numFmtId="0" fontId="114" fillId="18" borderId="66" xfId="3" applyFont="1" applyFill="1" applyBorder="1" applyAlignment="1" applyProtection="1">
      <alignment horizontal="center" vertical="center" wrapText="1"/>
      <protection hidden="1"/>
    </xf>
    <xf numFmtId="166" fontId="111" fillId="29" borderId="9" xfId="3" applyNumberFormat="1" applyFont="1" applyFill="1" applyBorder="1" applyAlignment="1" applyProtection="1">
      <alignment horizontal="center" vertical="center" wrapText="1"/>
      <protection hidden="1"/>
    </xf>
    <xf numFmtId="166" fontId="111" fillId="29" borderId="39" xfId="3" applyNumberFormat="1" applyFont="1" applyFill="1" applyBorder="1" applyAlignment="1" applyProtection="1">
      <alignment horizontal="center" vertical="center" wrapText="1"/>
      <protection hidden="1"/>
    </xf>
    <xf numFmtId="166" fontId="111" fillId="29" borderId="23" xfId="3" applyNumberFormat="1" applyFont="1" applyFill="1" applyBorder="1" applyAlignment="1" applyProtection="1">
      <alignment horizontal="center" vertical="center" wrapText="1"/>
      <protection hidden="1"/>
    </xf>
    <xf numFmtId="0" fontId="90" fillId="24" borderId="9" xfId="3" applyFont="1" applyFill="1" applyBorder="1" applyAlignment="1" applyProtection="1">
      <alignment horizontal="center" vertical="center" wrapText="1"/>
      <protection hidden="1"/>
    </xf>
    <xf numFmtId="0" fontId="90" fillId="24" borderId="23" xfId="3" applyFont="1" applyFill="1" applyBorder="1" applyAlignment="1" applyProtection="1">
      <alignment horizontal="center" vertical="center" wrapText="1"/>
      <protection hidden="1"/>
    </xf>
    <xf numFmtId="0" fontId="85" fillId="28" borderId="8" xfId="3" applyFont="1" applyFill="1" applyBorder="1" applyAlignment="1" applyProtection="1">
      <alignment horizontal="left" vertical="center" wrapText="1"/>
      <protection locked="0"/>
    </xf>
    <xf numFmtId="0" fontId="111" fillId="25" borderId="55" xfId="3" applyFont="1" applyFill="1" applyBorder="1" applyAlignment="1" applyProtection="1">
      <alignment horizontal="center" vertical="center" wrapText="1"/>
      <protection hidden="1"/>
    </xf>
    <xf numFmtId="0" fontId="111" fillId="25" borderId="0" xfId="3" applyFont="1" applyFill="1" applyAlignment="1" applyProtection="1">
      <alignment horizontal="center" vertical="center" wrapText="1"/>
      <protection hidden="1"/>
    </xf>
    <xf numFmtId="0" fontId="111" fillId="29" borderId="9" xfId="3" applyFont="1" applyFill="1" applyBorder="1" applyAlignment="1" applyProtection="1">
      <alignment horizontal="center" vertical="center" wrapText="1"/>
      <protection hidden="1"/>
    </xf>
    <xf numFmtId="0" fontId="111" fillId="29" borderId="39" xfId="3" applyFont="1" applyFill="1" applyBorder="1" applyAlignment="1" applyProtection="1">
      <alignment horizontal="center" vertical="center" wrapText="1"/>
      <protection hidden="1"/>
    </xf>
    <xf numFmtId="0" fontId="111" fillId="29" borderId="23" xfId="3" applyFont="1" applyFill="1" applyBorder="1" applyAlignment="1" applyProtection="1">
      <alignment horizontal="center" vertical="center" wrapText="1"/>
      <protection hidden="1"/>
    </xf>
    <xf numFmtId="0" fontId="85" fillId="31" borderId="20" xfId="3" applyFont="1" applyFill="1" applyBorder="1" applyAlignment="1" applyProtection="1">
      <alignment horizontal="left" vertical="center" textRotation="180" wrapText="1"/>
      <protection hidden="1"/>
    </xf>
    <xf numFmtId="0" fontId="85" fillId="31" borderId="67" xfId="3" applyFont="1" applyFill="1" applyBorder="1" applyAlignment="1" applyProtection="1">
      <alignment horizontal="left" vertical="center" textRotation="180" wrapText="1"/>
      <protection hidden="1"/>
    </xf>
    <xf numFmtId="0" fontId="90" fillId="24" borderId="35" xfId="3" applyFont="1" applyFill="1" applyBorder="1" applyAlignment="1" applyProtection="1">
      <alignment horizontal="center" vertical="center" wrapText="1"/>
      <protection hidden="1"/>
    </xf>
    <xf numFmtId="0" fontId="90" fillId="24" borderId="57" xfId="3" applyFont="1" applyFill="1" applyBorder="1" applyAlignment="1" applyProtection="1">
      <alignment horizontal="center" vertical="center" wrapText="1"/>
      <protection hidden="1"/>
    </xf>
    <xf numFmtId="0" fontId="101" fillId="18" borderId="9" xfId="3" applyFont="1" applyFill="1" applyBorder="1" applyAlignment="1" applyProtection="1">
      <alignment horizontal="center" vertical="center" wrapText="1"/>
      <protection hidden="1"/>
    </xf>
    <xf numFmtId="0" fontId="101" fillId="18" borderId="39" xfId="3" applyFont="1" applyFill="1" applyBorder="1" applyAlignment="1" applyProtection="1">
      <alignment horizontal="center" vertical="center" wrapText="1"/>
      <protection hidden="1"/>
    </xf>
    <xf numFmtId="0" fontId="101" fillId="18" borderId="23" xfId="3" applyFont="1" applyFill="1" applyBorder="1" applyAlignment="1" applyProtection="1">
      <alignment horizontal="center" vertical="center" wrapText="1"/>
      <protection hidden="1"/>
    </xf>
    <xf numFmtId="0" fontId="102" fillId="0" borderId="0" xfId="3" applyFont="1" applyAlignment="1" applyProtection="1">
      <alignment horizontal="left" vertical="center" wrapText="1"/>
      <protection hidden="1"/>
    </xf>
    <xf numFmtId="0" fontId="124" fillId="25" borderId="0" xfId="3" applyFont="1" applyFill="1" applyAlignment="1" applyProtection="1">
      <alignment horizontal="center" vertical="center" wrapText="1"/>
      <protection hidden="1"/>
    </xf>
    <xf numFmtId="0" fontId="86" fillId="25" borderId="38" xfId="3" applyFont="1" applyFill="1" applyBorder="1" applyAlignment="1" applyProtection="1">
      <alignment horizontal="center" vertical="center" wrapText="1"/>
      <protection hidden="1"/>
    </xf>
    <xf numFmtId="0" fontId="112" fillId="25" borderId="67" xfId="3" applyFont="1" applyFill="1" applyBorder="1" applyAlignment="1" applyProtection="1">
      <alignment horizontal="center" vertical="center" textRotation="90" wrapText="1"/>
      <protection hidden="1"/>
    </xf>
    <xf numFmtId="0" fontId="112" fillId="0" borderId="67" xfId="3" applyFont="1" applyBorder="1" applyAlignment="1">
      <alignment horizontal="center" vertical="center" textRotation="90" wrapText="1"/>
    </xf>
    <xf numFmtId="0" fontId="112" fillId="25" borderId="65" xfId="3" applyFont="1" applyFill="1" applyBorder="1" applyAlignment="1" applyProtection="1">
      <alignment horizontal="center" vertical="center" wrapText="1"/>
      <protection hidden="1"/>
    </xf>
    <xf numFmtId="0" fontId="112" fillId="0" borderId="66" xfId="3" applyFont="1" applyBorder="1" applyAlignment="1">
      <alignment vertical="center" wrapText="1"/>
    </xf>
    <xf numFmtId="0" fontId="87" fillId="29" borderId="39" xfId="3" applyFont="1" applyFill="1" applyBorder="1" applyAlignment="1" applyProtection="1">
      <alignment horizontal="right" vertical="center" wrapText="1"/>
      <protection hidden="1"/>
    </xf>
    <xf numFmtId="0" fontId="87" fillId="29" borderId="39" xfId="3" applyFont="1" applyFill="1" applyBorder="1" applyAlignment="1" applyProtection="1">
      <alignment horizontal="left" vertical="center" wrapText="1"/>
      <protection hidden="1"/>
    </xf>
    <xf numFmtId="0" fontId="116" fillId="15" borderId="0" xfId="3" applyFont="1" applyFill="1" applyAlignment="1" applyProtection="1">
      <alignment horizontal="left" vertical="center" wrapText="1"/>
      <protection hidden="1"/>
    </xf>
    <xf numFmtId="0" fontId="116" fillId="15" borderId="0" xfId="3" applyFont="1" applyFill="1" applyAlignment="1" applyProtection="1">
      <alignment horizontal="left" vertical="top" wrapText="1"/>
      <protection hidden="1"/>
    </xf>
    <xf numFmtId="0" fontId="125" fillId="0" borderId="0" xfId="3" applyFont="1" applyAlignment="1" applyProtection="1">
      <alignment vertical="center" wrapText="1"/>
      <protection hidden="1"/>
    </xf>
    <xf numFmtId="0" fontId="125" fillId="0" borderId="0" xfId="3" applyFont="1" applyAlignment="1">
      <alignment vertical="center" wrapText="1"/>
    </xf>
    <xf numFmtId="0" fontId="125" fillId="0" borderId="0" xfId="3" applyFont="1" applyAlignment="1" applyProtection="1">
      <alignment horizontal="left" vertical="center" wrapText="1"/>
      <protection hidden="1"/>
    </xf>
    <xf numFmtId="0" fontId="125" fillId="0" borderId="0" xfId="3" applyFont="1" applyAlignment="1">
      <alignment horizontal="left" vertical="center" wrapText="1"/>
    </xf>
    <xf numFmtId="0" fontId="98" fillId="28" borderId="9" xfId="3" applyFont="1" applyFill="1" applyBorder="1" applyAlignment="1" applyProtection="1">
      <alignment horizontal="center" vertical="center" wrapText="1"/>
      <protection locked="0"/>
    </xf>
    <xf numFmtId="0" fontId="98" fillId="28" borderId="23" xfId="3" applyFont="1" applyFill="1" applyBorder="1" applyAlignment="1" applyProtection="1">
      <alignment horizontal="center" vertical="center" wrapText="1"/>
      <protection locked="0"/>
    </xf>
    <xf numFmtId="0" fontId="140" fillId="0" borderId="0" xfId="3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3" fillId="13" borderId="30" xfId="0" applyFont="1" applyFill="1" applyBorder="1" applyAlignment="1">
      <alignment horizontal="center" vertical="center" wrapText="1"/>
    </xf>
    <xf numFmtId="0" fontId="147" fillId="0" borderId="80" xfId="3" applyFont="1" applyBorder="1" applyAlignment="1">
      <alignment vertical="center" wrapText="1"/>
    </xf>
    <xf numFmtId="0" fontId="18" fillId="0" borderId="81" xfId="0" applyFont="1" applyBorder="1" applyAlignment="1">
      <alignment vertical="center" wrapText="1"/>
    </xf>
    <xf numFmtId="0" fontId="18" fillId="0" borderId="82" xfId="0" applyFont="1" applyBorder="1" applyAlignment="1">
      <alignment vertical="center" wrapText="1"/>
    </xf>
    <xf numFmtId="0" fontId="18" fillId="0" borderId="83" xfId="0" applyFont="1" applyBorder="1" applyAlignment="1">
      <alignment vertical="center" wrapText="1"/>
    </xf>
    <xf numFmtId="0" fontId="18" fillId="0" borderId="84" xfId="0" applyFont="1" applyBorder="1" applyAlignment="1">
      <alignment vertical="center" wrapText="1"/>
    </xf>
    <xf numFmtId="0" fontId="18" fillId="0" borderId="85" xfId="0" applyFont="1" applyBorder="1" applyAlignment="1">
      <alignment vertical="center" wrapText="1"/>
    </xf>
    <xf numFmtId="0" fontId="81" fillId="0" borderId="80" xfId="3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147" fillId="0" borderId="86" xfId="3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87" xfId="0" applyFont="1" applyBorder="1" applyAlignment="1">
      <alignment vertical="center" wrapText="1"/>
    </xf>
    <xf numFmtId="0" fontId="147" fillId="0" borderId="78" xfId="3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81" fillId="38" borderId="86" xfId="3" applyFill="1" applyBorder="1"/>
    <xf numFmtId="0" fontId="0" fillId="38" borderId="81" xfId="0" applyFill="1" applyBorder="1"/>
    <xf numFmtId="0" fontId="0" fillId="38" borderId="0" xfId="0" applyFill="1"/>
    <xf numFmtId="0" fontId="0" fillId="38" borderId="83" xfId="0" applyFill="1" applyBorder="1"/>
    <xf numFmtId="0" fontId="0" fillId="38" borderId="87" xfId="0" applyFill="1" applyBorder="1"/>
    <xf numFmtId="0" fontId="0" fillId="38" borderId="85" xfId="0" applyFill="1" applyBorder="1"/>
    <xf numFmtId="0" fontId="81" fillId="0" borderId="77" xfId="3" applyBorder="1"/>
    <xf numFmtId="0" fontId="0" fillId="0" borderId="78" xfId="0" applyBorder="1"/>
    <xf numFmtId="0" fontId="0" fillId="0" borderId="79" xfId="0" applyBorder="1"/>
    <xf numFmtId="0" fontId="147" fillId="24" borderId="47" xfId="3" applyFont="1" applyFill="1" applyBorder="1" applyAlignment="1" applyProtection="1">
      <alignment horizontal="center" vertical="center" wrapText="1"/>
      <protection hidden="1"/>
    </xf>
    <xf numFmtId="0" fontId="147" fillId="24" borderId="8" xfId="3" applyFont="1" applyFill="1" applyBorder="1" applyAlignment="1" applyProtection="1">
      <alignment horizontal="center" vertical="center" wrapText="1"/>
      <protection hidden="1"/>
    </xf>
    <xf numFmtId="0" fontId="147" fillId="24" borderId="8" xfId="3" applyFont="1" applyFill="1" applyBorder="1" applyAlignment="1">
      <alignment horizontal="center" vertical="center" wrapText="1"/>
    </xf>
    <xf numFmtId="0" fontId="178" fillId="36" borderId="31" xfId="3" applyFont="1" applyFill="1" applyBorder="1" applyAlignment="1">
      <alignment horizontal="center" vertical="center" wrapText="1"/>
    </xf>
    <xf numFmtId="0" fontId="179" fillId="36" borderId="32" xfId="0" applyFont="1" applyFill="1" applyBorder="1" applyAlignment="1">
      <alignment horizontal="center" vertical="center" wrapText="1"/>
    </xf>
    <xf numFmtId="0" fontId="179" fillId="36" borderId="51" xfId="0" applyFont="1" applyFill="1" applyBorder="1" applyAlignment="1">
      <alignment horizontal="center" vertical="center" wrapText="1"/>
    </xf>
    <xf numFmtId="0" fontId="0" fillId="0" borderId="0" xfId="0" applyBorder="1"/>
    <xf numFmtId="0" fontId="155" fillId="0" borderId="0" xfId="0" applyFont="1" applyBorder="1" applyAlignment="1">
      <alignment horizontal="center"/>
    </xf>
  </cellXfs>
  <cellStyles count="5">
    <cellStyle name="Гиперссылка" xfId="4" builtinId="8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2" builtinId="3"/>
  </cellStyles>
  <dxfs count="132"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EF720B"/>
      <color rgb="FFFF860D"/>
      <color rgb="FFCCFFFF"/>
      <color rgb="FFFFFF99"/>
      <color rgb="FFFFFF66"/>
      <color rgb="FFFFFFCC"/>
      <color rgb="FF99FFCC"/>
      <color rgb="FF0000FF"/>
      <color rgb="FFF9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$AK$21" fmlaRange="$AI$21:$AI$22" sel="1" val="0"/>
</file>

<file path=xl/ctrlProps/ctrlProp2.xml><?xml version="1.0" encoding="utf-8"?>
<formControlPr xmlns="http://schemas.microsoft.com/office/spreadsheetml/2009/9/main" objectType="Drop" dropLines="32" dropStyle="combo" dx="22" fmlaLink="$AK$26" fmlaRange="$AJ$26:$AJ$55" sel="18" val="0"/>
</file>

<file path=xl/ctrlProps/ctrlProp3.xml><?xml version="1.0" encoding="utf-8"?>
<formControlPr xmlns="http://schemas.microsoft.com/office/spreadsheetml/2009/9/main" objectType="Drop" dropLines="30" dropStyle="combo" dx="22" fmlaLink="$AL$26" fmlaRange="$AM$26:$AM$43" sel="16" val="0"/>
</file>

<file path=xl/ctrlProps/ctrlProp4.xml><?xml version="1.0" encoding="utf-8"?>
<formControlPr xmlns="http://schemas.microsoft.com/office/spreadsheetml/2009/9/main" objectType="Drop" dropLines="30" dropStyle="combo" dx="22" fmlaLink="$AO$26" fmlaRange="$AN$26:$AN$43" sel="16" val="0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29.png"/><Relationship Id="rId4" Type="http://schemas.microsoft.com/office/2007/relationships/hdphoto" Target="../media/hdphoto3.wdp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emf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emf"/><Relationship Id="rId3" Type="http://schemas.openxmlformats.org/officeDocument/2006/relationships/image" Target="../media/image38.emf"/><Relationship Id="rId7" Type="http://schemas.openxmlformats.org/officeDocument/2006/relationships/image" Target="../media/image42.emf"/><Relationship Id="rId2" Type="http://schemas.openxmlformats.org/officeDocument/2006/relationships/image" Target="../media/image36.jpeg"/><Relationship Id="rId1" Type="http://schemas.openxmlformats.org/officeDocument/2006/relationships/image" Target="../media/image35.png"/><Relationship Id="rId6" Type="http://schemas.openxmlformats.org/officeDocument/2006/relationships/image" Target="../media/image41.emf"/><Relationship Id="rId5" Type="http://schemas.openxmlformats.org/officeDocument/2006/relationships/image" Target="../media/image40.emf"/><Relationship Id="rId4" Type="http://schemas.openxmlformats.org/officeDocument/2006/relationships/image" Target="../media/image39.emf"/><Relationship Id="rId9" Type="http://schemas.openxmlformats.org/officeDocument/2006/relationships/image" Target="../media/image44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45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emf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13" Type="http://schemas.openxmlformats.org/officeDocument/2006/relationships/image" Target="../media/image63.png"/><Relationship Id="rId3" Type="http://schemas.openxmlformats.org/officeDocument/2006/relationships/image" Target="../media/image53.emf"/><Relationship Id="rId7" Type="http://schemas.openxmlformats.org/officeDocument/2006/relationships/image" Target="../media/image57.png"/><Relationship Id="rId12" Type="http://schemas.openxmlformats.org/officeDocument/2006/relationships/image" Target="../media/image62.png"/><Relationship Id="rId2" Type="http://schemas.openxmlformats.org/officeDocument/2006/relationships/image" Target="../media/image52.emf"/><Relationship Id="rId16" Type="http://schemas.openxmlformats.org/officeDocument/2006/relationships/image" Target="../media/image66.emf"/><Relationship Id="rId1" Type="http://schemas.openxmlformats.org/officeDocument/2006/relationships/image" Target="../media/image51.emf"/><Relationship Id="rId6" Type="http://schemas.openxmlformats.org/officeDocument/2006/relationships/image" Target="../media/image56.png"/><Relationship Id="rId11" Type="http://schemas.openxmlformats.org/officeDocument/2006/relationships/image" Target="../media/image61.png"/><Relationship Id="rId5" Type="http://schemas.openxmlformats.org/officeDocument/2006/relationships/image" Target="../media/image55.emf"/><Relationship Id="rId15" Type="http://schemas.openxmlformats.org/officeDocument/2006/relationships/image" Target="../media/image65.png"/><Relationship Id="rId10" Type="http://schemas.openxmlformats.org/officeDocument/2006/relationships/image" Target="../media/image60.png"/><Relationship Id="rId4" Type="http://schemas.openxmlformats.org/officeDocument/2006/relationships/image" Target="../media/image54.emf"/><Relationship Id="rId9" Type="http://schemas.openxmlformats.org/officeDocument/2006/relationships/image" Target="../media/image59.png"/><Relationship Id="rId14" Type="http://schemas.openxmlformats.org/officeDocument/2006/relationships/image" Target="../media/image6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4" Type="http://schemas.openxmlformats.org/officeDocument/2006/relationships/image" Target="../media/image70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2.png"/><Relationship Id="rId1" Type="http://schemas.openxmlformats.org/officeDocument/2006/relationships/image" Target="../media/image7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wmf"/><Relationship Id="rId2" Type="http://schemas.openxmlformats.org/officeDocument/2006/relationships/image" Target="../media/image74.wmf"/><Relationship Id="rId1" Type="http://schemas.openxmlformats.org/officeDocument/2006/relationships/image" Target="../media/image7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4" Type="http://schemas.openxmlformats.org/officeDocument/2006/relationships/image" Target="../media/image79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638174</xdr:colOff>
      <xdr:row>1</xdr:row>
      <xdr:rowOff>0</xdr:rowOff>
    </xdr:from>
    <xdr:to>
      <xdr:col>11</xdr:col>
      <xdr:colOff>2009775</xdr:colOff>
      <xdr:row>10</xdr:row>
      <xdr:rowOff>152400</xdr:rowOff>
    </xdr:to>
    <xdr:pic>
      <xdr:nvPicPr>
        <xdr:cNvPr id="2" name="Рисунок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4" y="571500"/>
          <a:ext cx="4514851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9524</xdr:colOff>
      <xdr:row>0</xdr:row>
      <xdr:rowOff>0</xdr:rowOff>
    </xdr:from>
    <xdr:ext cx="10029825" cy="600074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524" y="0"/>
          <a:ext cx="10029825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HF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600077</xdr:colOff>
      <xdr:row>32</xdr:row>
      <xdr:rowOff>9524</xdr:rowOff>
    </xdr:from>
    <xdr:to>
      <xdr:col>10</xdr:col>
      <xdr:colOff>504826</xdr:colOff>
      <xdr:row>49</xdr:row>
      <xdr:rowOff>160041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360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591052" y="8648699"/>
          <a:ext cx="3724274" cy="4000501"/>
        </a:xfrm>
        <a:prstGeom prst="rect">
          <a:avLst/>
        </a:prstGeom>
      </xdr:spPr>
    </xdr:pic>
    <xdr:clientData/>
  </xdr:twoCellAnchor>
  <xdr:twoCellAnchor editAs="oneCell">
    <xdr:from>
      <xdr:col>5</xdr:col>
      <xdr:colOff>80383</xdr:colOff>
      <xdr:row>32</xdr:row>
      <xdr:rowOff>25555</xdr:rowOff>
    </xdr:from>
    <xdr:to>
      <xdr:col>7</xdr:col>
      <xdr:colOff>116432</xdr:colOff>
      <xdr:row>33</xdr:row>
      <xdr:rowOff>58055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57158" y="8664730"/>
          <a:ext cx="1531474" cy="194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963337</xdr:colOff>
      <xdr:row>32</xdr:row>
      <xdr:rowOff>85937</xdr:rowOff>
    </xdr:from>
    <xdr:to>
      <xdr:col>11</xdr:col>
      <xdr:colOff>2100384</xdr:colOff>
      <xdr:row>49</xdr:row>
      <xdr:rowOff>103703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6510" y="8768341"/>
          <a:ext cx="3591566" cy="3841861"/>
        </a:xfrm>
        <a:prstGeom prst="rect">
          <a:avLst/>
        </a:prstGeom>
      </xdr:spPr>
    </xdr:pic>
    <xdr:clientData/>
  </xdr:twoCellAnchor>
  <xdr:twoCellAnchor>
    <xdr:from>
      <xdr:col>11</xdr:col>
      <xdr:colOff>1881216</xdr:colOff>
      <xdr:row>38</xdr:row>
      <xdr:rowOff>149998</xdr:rowOff>
    </xdr:from>
    <xdr:to>
      <xdr:col>12</xdr:col>
      <xdr:colOff>345908</xdr:colOff>
      <xdr:row>38</xdr:row>
      <xdr:rowOff>150395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2148163" y="10467077"/>
          <a:ext cx="615337" cy="39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249200</xdr:colOff>
      <xdr:row>39</xdr:row>
      <xdr:rowOff>5538</xdr:rowOff>
    </xdr:from>
    <xdr:to>
      <xdr:col>12</xdr:col>
      <xdr:colOff>260276</xdr:colOff>
      <xdr:row>45</xdr:row>
      <xdr:rowOff>16613</xdr:rowOff>
    </xdr:to>
    <xdr:cxnSp macro="">
      <xdr:nvCxnSpPr>
        <xdr:cNvPr id="16" name="Прямая со стрелко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12676002" y="10471962"/>
          <a:ext cx="11076" cy="11906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1955330</xdr:colOff>
      <xdr:row>49</xdr:row>
      <xdr:rowOff>8429</xdr:rowOff>
    </xdr:from>
    <xdr:to>
      <xdr:col>12</xdr:col>
      <xdr:colOff>408817</xdr:colOff>
      <xdr:row>49</xdr:row>
      <xdr:rowOff>9753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12226315" y="12521582"/>
          <a:ext cx="607148" cy="1324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1894810</xdr:colOff>
      <xdr:row>45</xdr:row>
      <xdr:rowOff>8757</xdr:rowOff>
    </xdr:from>
    <xdr:to>
      <xdr:col>12</xdr:col>
      <xdr:colOff>365960</xdr:colOff>
      <xdr:row>45</xdr:row>
      <xdr:rowOff>10027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12161757" y="11664349"/>
          <a:ext cx="621795" cy="127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418682</xdr:colOff>
      <xdr:row>53</xdr:row>
      <xdr:rowOff>20933</xdr:rowOff>
    </xdr:from>
    <xdr:to>
      <xdr:col>8</xdr:col>
      <xdr:colOff>586155</xdr:colOff>
      <xdr:row>68</xdr:row>
      <xdr:rowOff>146537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089" y="13219862"/>
          <a:ext cx="3307582" cy="3621593"/>
        </a:xfrm>
        <a:prstGeom prst="rect">
          <a:avLst/>
        </a:prstGeom>
      </xdr:spPr>
    </xdr:pic>
    <xdr:clientData/>
  </xdr:twoCellAnchor>
  <xdr:twoCellAnchor>
    <xdr:from>
      <xdr:col>4</xdr:col>
      <xdr:colOff>628022</xdr:colOff>
      <xdr:row>54</xdr:row>
      <xdr:rowOff>0</xdr:rowOff>
    </xdr:from>
    <xdr:to>
      <xdr:col>4</xdr:col>
      <xdr:colOff>628022</xdr:colOff>
      <xdr:row>59</xdr:row>
      <xdr:rowOff>41868</xdr:rowOff>
    </xdr:to>
    <xdr:cxnSp macro="">
      <xdr:nvCxnSpPr>
        <xdr:cNvPr id="30" name="Прямая со стрелко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4626429" y="13460604"/>
          <a:ext cx="0" cy="1507253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9526</xdr:rowOff>
    </xdr:from>
    <xdr:ext cx="9048750" cy="600074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9050" y="9526"/>
          <a:ext cx="9048750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19050</xdr:colOff>
      <xdr:row>1</xdr:row>
      <xdr:rowOff>19050</xdr:rowOff>
    </xdr:from>
    <xdr:to>
      <xdr:col>7</xdr:col>
      <xdr:colOff>2076450</xdr:colOff>
      <xdr:row>6</xdr:row>
      <xdr:rowOff>228600</xdr:rowOff>
    </xdr:to>
    <xdr:pic>
      <xdr:nvPicPr>
        <xdr:cNvPr id="5" name="Рисунок 4" descr="Blum_KLA0582_#SALL_#AOF4_#V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619125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11205</xdr:rowOff>
    </xdr:from>
    <xdr:to>
      <xdr:col>7</xdr:col>
      <xdr:colOff>2125182</xdr:colOff>
      <xdr:row>57</xdr:row>
      <xdr:rowOff>49695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43988"/>
          <a:ext cx="10250421" cy="6134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112</xdr:row>
      <xdr:rowOff>146655</xdr:rowOff>
    </xdr:from>
    <xdr:to>
      <xdr:col>7</xdr:col>
      <xdr:colOff>601821</xdr:colOff>
      <xdr:row>153</xdr:row>
      <xdr:rowOff>34713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8297072"/>
          <a:ext cx="11449738" cy="6396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62</xdr:row>
      <xdr:rowOff>94185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84429" cy="10585292"/>
        </a:xfrm>
        <a:prstGeom prst="rect">
          <a:avLst/>
        </a:prstGeom>
      </xdr:spPr>
    </xdr:pic>
    <xdr:clientData/>
  </xdr:twoCellAnchor>
  <xdr:twoCellAnchor editAs="oneCell">
    <xdr:from>
      <xdr:col>0</xdr:col>
      <xdr:colOff>46302</xdr:colOff>
      <xdr:row>62</xdr:row>
      <xdr:rowOff>91281</xdr:rowOff>
    </xdr:from>
    <xdr:to>
      <xdr:col>7</xdr:col>
      <xdr:colOff>598746</xdr:colOff>
      <xdr:row>112</xdr:row>
      <xdr:rowOff>137583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302" y="10304198"/>
          <a:ext cx="11432111" cy="79838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0</xdr:rowOff>
    </xdr:from>
    <xdr:to>
      <xdr:col>8</xdr:col>
      <xdr:colOff>2419350</xdr:colOff>
      <xdr:row>6</xdr:row>
      <xdr:rowOff>361950</xdr:rowOff>
    </xdr:to>
    <xdr:pic>
      <xdr:nvPicPr>
        <xdr:cNvPr id="10313" name="Рисунок 4">
          <a:extLst>
            <a:ext uri="{FF2B5EF4-FFF2-40B4-BE49-F238E27FC236}">
              <a16:creationId xmlns:a16="http://schemas.microsoft.com/office/drawing/2014/main" id="{00000000-0008-0000-0C00-00004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628650"/>
          <a:ext cx="24098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0</xdr:row>
      <xdr:rowOff>0</xdr:rowOff>
    </xdr:from>
    <xdr:ext cx="10182224" cy="628650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" y="0"/>
          <a:ext cx="10182224" cy="6286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HK-S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9082</xdr:colOff>
      <xdr:row>79</xdr:row>
      <xdr:rowOff>156830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68075" cy="133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36239</xdr:rowOff>
    </xdr:from>
    <xdr:to>
      <xdr:col>4</xdr:col>
      <xdr:colOff>514350</xdr:colOff>
      <xdr:row>103</xdr:row>
      <xdr:rowOff>64814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43480"/>
          <a:ext cx="7497379" cy="3805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0</xdr:rowOff>
    </xdr:from>
    <xdr:to>
      <xdr:col>11</xdr:col>
      <xdr:colOff>743857</xdr:colOff>
      <xdr:row>5</xdr:row>
      <xdr:rowOff>130969</xdr:rowOff>
    </xdr:to>
    <xdr:pic>
      <xdr:nvPicPr>
        <xdr:cNvPr id="17742" name="Рисунок 5">
          <a:extLst>
            <a:ext uri="{FF2B5EF4-FFF2-40B4-BE49-F238E27FC236}">
              <a16:creationId xmlns:a16="http://schemas.microsoft.com/office/drawing/2014/main" id="{00000000-0008-0000-0E00-00004E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513" y="595313"/>
          <a:ext cx="2247900" cy="139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5</xdr:row>
      <xdr:rowOff>130970</xdr:rowOff>
    </xdr:from>
    <xdr:to>
      <xdr:col>12</xdr:col>
      <xdr:colOff>4082</xdr:colOff>
      <xdr:row>8</xdr:row>
      <xdr:rowOff>295276</xdr:rowOff>
    </xdr:to>
    <xdr:pic>
      <xdr:nvPicPr>
        <xdr:cNvPr id="17743" name="Рисунок 6">
          <a:extLst>
            <a:ext uri="{FF2B5EF4-FFF2-40B4-BE49-F238E27FC236}">
              <a16:creationId xmlns:a16="http://schemas.microsoft.com/office/drawing/2014/main" id="{00000000-0008-0000-0E00-00004F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463" y="1988345"/>
          <a:ext cx="2276475" cy="121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037594" cy="59531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0" y="0"/>
          <a:ext cx="15037594" cy="59531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9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HK-XS</a:t>
          </a:r>
          <a:endParaRPr lang="ru-RU" sz="39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13</xdr:col>
      <xdr:colOff>482571</xdr:colOff>
      <xdr:row>22</xdr:row>
      <xdr:rowOff>43435</xdr:rowOff>
    </xdr:from>
    <xdr:to>
      <xdr:col>16</xdr:col>
      <xdr:colOff>881257</xdr:colOff>
      <xdr:row>28</xdr:row>
      <xdr:rowOff>332200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0000"/>
                  </a14:imgEffect>
                  <a14:imgEffect>
                    <a14:brightnessContrast bright="5000" contrast="-22000"/>
                  </a14:imgEffect>
                </a14:imgLayer>
              </a14:imgProps>
            </a:ext>
          </a:extLst>
        </a:blip>
        <a:srcRect b="6612"/>
        <a:stretch/>
      </xdr:blipFill>
      <xdr:spPr>
        <a:xfrm>
          <a:off x="11493471" y="9396985"/>
          <a:ext cx="2960911" cy="3593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9525</xdr:rowOff>
        </xdr:from>
        <xdr:to>
          <xdr:col>15</xdr:col>
          <xdr:colOff>0</xdr:colOff>
          <xdr:row>22</xdr:row>
          <xdr:rowOff>57150</xdr:rowOff>
        </xdr:to>
        <xdr:sp macro="" textlink="">
          <xdr:nvSpPr>
            <xdr:cNvPr id="17439" name="Drop Dow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E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762000</xdr:colOff>
          <xdr:row>21</xdr:row>
          <xdr:rowOff>0</xdr:rowOff>
        </xdr:from>
        <xdr:to>
          <xdr:col>16</xdr:col>
          <xdr:colOff>876300</xdr:colOff>
          <xdr:row>22</xdr:row>
          <xdr:rowOff>38100</xdr:rowOff>
        </xdr:to>
        <xdr:sp macro="" textlink="">
          <xdr:nvSpPr>
            <xdr:cNvPr id="17442" name="Drop Dow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E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504825</xdr:colOff>
      <xdr:row>24</xdr:row>
      <xdr:rowOff>103968</xdr:rowOff>
    </xdr:from>
    <xdr:to>
      <xdr:col>13</xdr:col>
      <xdr:colOff>510337</xdr:colOff>
      <xdr:row>27</xdr:row>
      <xdr:rowOff>47625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1515725" y="10333818"/>
          <a:ext cx="5512" cy="188675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22677</xdr:colOff>
      <xdr:row>22</xdr:row>
      <xdr:rowOff>22679</xdr:rowOff>
    </xdr:from>
    <xdr:to>
      <xdr:col>22</xdr:col>
      <xdr:colOff>73316</xdr:colOff>
      <xdr:row>28</xdr:row>
      <xdr:rowOff>313151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40862" y="9260624"/>
          <a:ext cx="3443105" cy="3578554"/>
        </a:xfrm>
        <a:prstGeom prst="rect">
          <a:avLst/>
        </a:prstGeom>
      </xdr:spPr>
    </xdr:pic>
    <xdr:clientData/>
  </xdr:twoCellAnchor>
  <xdr:twoCellAnchor>
    <xdr:from>
      <xdr:col>21</xdr:col>
      <xdr:colOff>1542162</xdr:colOff>
      <xdr:row>26</xdr:row>
      <xdr:rowOff>111331</xdr:rowOff>
    </xdr:from>
    <xdr:to>
      <xdr:col>22</xdr:col>
      <xdr:colOff>606137</xdr:colOff>
      <xdr:row>26</xdr:row>
      <xdr:rowOff>114070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V="1">
          <a:off x="18365539" y="11726883"/>
          <a:ext cx="665906" cy="27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542925</xdr:colOff>
          <xdr:row>21</xdr:row>
          <xdr:rowOff>0</xdr:rowOff>
        </xdr:from>
        <xdr:to>
          <xdr:col>21</xdr:col>
          <xdr:colOff>9525</xdr:colOff>
          <xdr:row>22</xdr:row>
          <xdr:rowOff>19050</xdr:rowOff>
        </xdr:to>
        <xdr:sp macro="" textlink="">
          <xdr:nvSpPr>
            <xdr:cNvPr id="17448" name="Drop Dow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E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666750</xdr:colOff>
          <xdr:row>22</xdr:row>
          <xdr:rowOff>19050</xdr:rowOff>
        </xdr:to>
        <xdr:sp macro="" textlink="">
          <xdr:nvSpPr>
            <xdr:cNvPr id="17450" name="Drop Down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E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342900</xdr:colOff>
      <xdr:row>24</xdr:row>
      <xdr:rowOff>57150</xdr:rowOff>
    </xdr:from>
    <xdr:to>
      <xdr:col>13</xdr:col>
      <xdr:colOff>485777</xdr:colOff>
      <xdr:row>24</xdr:row>
      <xdr:rowOff>85727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CxnSpPr/>
      </xdr:nvCxnSpPr>
      <xdr:spPr>
        <a:xfrm flipH="1" flipV="1">
          <a:off x="11353800" y="10287000"/>
          <a:ext cx="142877" cy="285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27</xdr:row>
      <xdr:rowOff>28575</xdr:rowOff>
    </xdr:from>
    <xdr:to>
      <xdr:col>13</xdr:col>
      <xdr:colOff>476251</xdr:colOff>
      <xdr:row>27</xdr:row>
      <xdr:rowOff>47627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>
        <a:xfrm flipH="1" flipV="1">
          <a:off x="11353800" y="12201525"/>
          <a:ext cx="133351" cy="190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54307</xdr:colOff>
      <xdr:row>22</xdr:row>
      <xdr:rowOff>268803</xdr:rowOff>
    </xdr:from>
    <xdr:to>
      <xdr:col>22</xdr:col>
      <xdr:colOff>531916</xdr:colOff>
      <xdr:row>22</xdr:row>
      <xdr:rowOff>269547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CxnSpPr/>
      </xdr:nvCxnSpPr>
      <xdr:spPr>
        <a:xfrm flipV="1">
          <a:off x="18466132" y="9622353"/>
          <a:ext cx="477609" cy="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70266</xdr:colOff>
      <xdr:row>25</xdr:row>
      <xdr:rowOff>378658</xdr:rowOff>
    </xdr:from>
    <xdr:to>
      <xdr:col>22</xdr:col>
      <xdr:colOff>534805</xdr:colOff>
      <xdr:row>25</xdr:row>
      <xdr:rowOff>382561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CxnSpPr/>
      </xdr:nvCxnSpPr>
      <xdr:spPr>
        <a:xfrm flipV="1">
          <a:off x="18483965" y="11133320"/>
          <a:ext cx="464539" cy="39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445325</xdr:colOff>
      <xdr:row>22</xdr:row>
      <xdr:rowOff>284513</xdr:rowOff>
    </xdr:from>
    <xdr:to>
      <xdr:col>22</xdr:col>
      <xdr:colOff>451510</xdr:colOff>
      <xdr:row>25</xdr:row>
      <xdr:rowOff>377289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CxnSpPr/>
      </xdr:nvCxnSpPr>
      <xdr:spPr>
        <a:xfrm>
          <a:off x="18870633" y="9630146"/>
          <a:ext cx="6185" cy="1496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228600</xdr:colOff>
      <xdr:row>2</xdr:row>
      <xdr:rowOff>76200</xdr:rowOff>
    </xdr:to>
    <xdr:pic>
      <xdr:nvPicPr>
        <xdr:cNvPr id="19067" name="Рисунок 7">
          <a:extLst>
            <a:ext uri="{FF2B5EF4-FFF2-40B4-BE49-F238E27FC236}">
              <a16:creationId xmlns:a16="http://schemas.microsoft.com/office/drawing/2014/main" id="{00000000-0008-0000-0F00-00007B4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95799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18</xdr:col>
      <xdr:colOff>113448</xdr:colOff>
      <xdr:row>50</xdr:row>
      <xdr:rowOff>151325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0"/>
          <a:ext cx="6819048" cy="8600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161925</xdr:colOff>
      <xdr:row>0</xdr:row>
      <xdr:rowOff>495300</xdr:rowOff>
    </xdr:from>
    <xdr:to>
      <xdr:col>24</xdr:col>
      <xdr:colOff>332801</xdr:colOff>
      <xdr:row>49</xdr:row>
      <xdr:rowOff>151407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4725" y="495300"/>
          <a:ext cx="4590476" cy="79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53</xdr:row>
      <xdr:rowOff>57150</xdr:rowOff>
    </xdr:from>
    <xdr:to>
      <xdr:col>19</xdr:col>
      <xdr:colOff>360988</xdr:colOff>
      <xdr:row>78</xdr:row>
      <xdr:rowOff>94739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8150" y="9039225"/>
          <a:ext cx="7695238" cy="4085714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78</xdr:row>
      <xdr:rowOff>104775</xdr:rowOff>
    </xdr:from>
    <xdr:to>
      <xdr:col>19</xdr:col>
      <xdr:colOff>322902</xdr:colOff>
      <xdr:row>122</xdr:row>
      <xdr:rowOff>103884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24350" y="13134975"/>
          <a:ext cx="7580952" cy="712380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223</xdr:rowOff>
    </xdr:from>
    <xdr:ext cx="7021918" cy="189589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6"/>
          <a:ext cx="7021918" cy="189589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276892</xdr:colOff>
      <xdr:row>14</xdr:row>
      <xdr:rowOff>22153</xdr:rowOff>
    </xdr:from>
    <xdr:ext cx="2901802" cy="23923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70" y="2923955"/>
          <a:ext cx="2901802" cy="239232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</xdr:row>
      <xdr:rowOff>9524</xdr:rowOff>
    </xdr:from>
    <xdr:ext cx="4109040" cy="247140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070" y="674059"/>
          <a:ext cx="4109040" cy="2471405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315200" cy="214630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200"/>
          <a:ext cx="7315200" cy="21463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266700</xdr:colOff>
      <xdr:row>1</xdr:row>
      <xdr:rowOff>12700</xdr:rowOff>
    </xdr:from>
    <xdr:ext cx="3895725" cy="213360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593725"/>
          <a:ext cx="3895725" cy="2133600"/>
        </a:xfrm>
        <a:prstGeom prst="rect">
          <a:avLst/>
        </a:prstGeom>
      </xdr:spPr>
    </xdr:pic>
    <xdr:clientData/>
  </xdr:oneCellAnchor>
  <xdr:oneCellAnchor>
    <xdr:from>
      <xdr:col>10</xdr:col>
      <xdr:colOff>279400</xdr:colOff>
      <xdr:row>11</xdr:row>
      <xdr:rowOff>170</xdr:rowOff>
    </xdr:from>
    <xdr:ext cx="3883025" cy="2450930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8000" contras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900" y="2743370"/>
          <a:ext cx="3883025" cy="2450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</xdr:colOff>
      <xdr:row>11</xdr:row>
      <xdr:rowOff>9524</xdr:rowOff>
    </xdr:from>
    <xdr:ext cx="3820702" cy="238778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10000" contrast="-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953249"/>
          <a:ext cx="3820702" cy="238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</xdr:colOff>
      <xdr:row>20</xdr:row>
      <xdr:rowOff>76200</xdr:rowOff>
    </xdr:from>
    <xdr:ext cx="11214099" cy="14894675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257800"/>
          <a:ext cx="11214099" cy="1489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97</xdr:row>
      <xdr:rowOff>42809</xdr:rowOff>
    </xdr:from>
    <xdr:ext cx="11188700" cy="16385141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2309"/>
          <a:ext cx="11188700" cy="1638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181937</xdr:colOff>
      <xdr:row>21</xdr:row>
      <xdr:rowOff>74917</xdr:rowOff>
    </xdr:from>
    <xdr:ext cx="3467529" cy="2846798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37" y="9323692"/>
          <a:ext cx="3467529" cy="2846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182</xdr:row>
      <xdr:rowOff>1</xdr:rowOff>
    </xdr:from>
    <xdr:to>
      <xdr:col>36</xdr:col>
      <xdr:colOff>279757</xdr:colOff>
      <xdr:row>241</xdr:row>
      <xdr:rowOff>3540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19276"/>
          <a:ext cx="11090632" cy="1124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2</xdr:rowOff>
    </xdr:from>
    <xdr:to>
      <xdr:col>36</xdr:col>
      <xdr:colOff>279757</xdr:colOff>
      <xdr:row>289</xdr:row>
      <xdr:rowOff>42810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58777"/>
          <a:ext cx="11090632" cy="9186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</xdr:colOff>
      <xdr:row>1</xdr:row>
      <xdr:rowOff>46464</xdr:rowOff>
    </xdr:from>
    <xdr:ext cx="5105400" cy="2631742"/>
    <xdr:pic>
      <xdr:nvPicPr>
        <xdr:cNvPr id="2" name="Рисунок 1" descr="Используемые при расчете плотности материалов:                               ДСП -- 680 кг/м³;                             Массив Ольхи -- 550 кг/м³;                                Массив Ясеня -- 750 кг/м³;                                   Массив Дуба -- 690 кг/м³;                                                       МДФ -- 760 кг/м³;                                                                 ДВП -- 900 кг/м³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413" y="629170"/>
          <a:ext cx="5105400" cy="26317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9524</xdr:rowOff>
    </xdr:from>
    <xdr:ext cx="7951770" cy="2034866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317"/>
          <a:ext cx="7951770" cy="20348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3886200" cy="609600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0" y="1"/>
          <a:ext cx="3886200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136071</xdr:colOff>
      <xdr:row>22</xdr:row>
      <xdr:rowOff>146538</xdr:rowOff>
    </xdr:from>
    <xdr:ext cx="680357" cy="3140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4403271" y="4337538"/>
          <a:ext cx="680357" cy="314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0"/>
            <a:t>Фасад</a:t>
          </a:r>
          <a:r>
            <a:rPr lang="ru-RU" sz="1100" b="1"/>
            <a:t> -</a:t>
          </a:r>
        </a:p>
      </xdr:txBody>
    </xdr:sp>
    <xdr:clientData/>
  </xdr:oneCellAnchor>
  <xdr:oneCellAnchor>
    <xdr:from>
      <xdr:col>7</xdr:col>
      <xdr:colOff>552450</xdr:colOff>
      <xdr:row>17</xdr:row>
      <xdr:rowOff>190500</xdr:rowOff>
    </xdr:from>
    <xdr:ext cx="92392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4819650" y="3429000"/>
          <a:ext cx="923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/>
            <a:t>Дно ящика</a:t>
          </a:r>
        </a:p>
      </xdr:txBody>
    </xdr:sp>
    <xdr:clientData/>
  </xdr:oneCellAnchor>
  <xdr:oneCellAnchor>
    <xdr:from>
      <xdr:col>4</xdr:col>
      <xdr:colOff>571500</xdr:colOff>
      <xdr:row>16</xdr:row>
      <xdr:rowOff>47625</xdr:rowOff>
    </xdr:from>
    <xdr:ext cx="171450" cy="16097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3009900" y="3095625"/>
          <a:ext cx="171450" cy="1609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8</xdr:col>
      <xdr:colOff>123823</xdr:colOff>
      <xdr:row>16</xdr:row>
      <xdr:rowOff>38100</xdr:rowOff>
    </xdr:from>
    <xdr:ext cx="304801" cy="14668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5000623" y="3086100"/>
          <a:ext cx="304801" cy="1466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7</xdr:col>
      <xdr:colOff>466726</xdr:colOff>
      <xdr:row>13</xdr:row>
      <xdr:rowOff>171449</xdr:rowOff>
    </xdr:from>
    <xdr:ext cx="1000124" cy="2381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4733926" y="2647949"/>
          <a:ext cx="1000124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Задняя царга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58775" cy="5905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0" y="0"/>
          <a:ext cx="130587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TIP-ON BLUMOTION </a:t>
          </a:r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MOVENTO</a:t>
          </a:r>
          <a:endParaRPr lang="ru-RU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886200" cy="609600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0" y="1"/>
          <a:ext cx="3886200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136071</xdr:colOff>
      <xdr:row>11</xdr:row>
      <xdr:rowOff>0</xdr:rowOff>
    </xdr:from>
    <xdr:ext cx="680357" cy="3140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5870121" y="5270988"/>
          <a:ext cx="680357" cy="314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 b="1"/>
        </a:p>
      </xdr:txBody>
    </xdr:sp>
    <xdr:clientData/>
  </xdr:oneCellAnchor>
  <xdr:oneCellAnchor>
    <xdr:from>
      <xdr:col>7</xdr:col>
      <xdr:colOff>552450</xdr:colOff>
      <xdr:row>11</xdr:row>
      <xdr:rowOff>0</xdr:rowOff>
    </xdr:from>
    <xdr:ext cx="92392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6288854" y="2632753"/>
          <a:ext cx="923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 b="0"/>
        </a:p>
      </xdr:txBody>
    </xdr:sp>
    <xdr:clientData/>
  </xdr:oneCellAnchor>
  <xdr:oneCellAnchor>
    <xdr:from>
      <xdr:col>4</xdr:col>
      <xdr:colOff>571500</xdr:colOff>
      <xdr:row>11</xdr:row>
      <xdr:rowOff>0</xdr:rowOff>
    </xdr:from>
    <xdr:ext cx="171450" cy="16097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5391150" y="3667125"/>
          <a:ext cx="171450" cy="1609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123823</xdr:colOff>
      <xdr:row>11</xdr:row>
      <xdr:rowOff>0</xdr:rowOff>
    </xdr:from>
    <xdr:ext cx="304801" cy="14668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7762873" y="3657600"/>
          <a:ext cx="304801" cy="1466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385281</xdr:colOff>
      <xdr:row>11</xdr:row>
      <xdr:rowOff>0</xdr:rowOff>
    </xdr:from>
    <xdr:ext cx="438793" cy="25976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5211994" y="3421810"/>
          <a:ext cx="438793" cy="259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58775" cy="5905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0" y="0"/>
          <a:ext cx="130587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ВЫПИСКА И СХЕМА МОНТАЖА </a:t>
          </a:r>
          <a:r>
            <a:rPr lang="en-US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TIP-ON BLUMOTION </a:t>
          </a:r>
          <a:r>
            <a:rPr lang="ru-RU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2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MOVENTO</a:t>
          </a:r>
          <a:endParaRPr lang="ru-RU" sz="2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38</xdr:col>
      <xdr:colOff>28434</xdr:colOff>
      <xdr:row>40</xdr:row>
      <xdr:rowOff>162358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71190" cy="8475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32470</xdr:rowOff>
    </xdr:from>
    <xdr:to>
      <xdr:col>38</xdr:col>
      <xdr:colOff>21647</xdr:colOff>
      <xdr:row>74</xdr:row>
      <xdr:rowOff>189065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34856"/>
          <a:ext cx="13064403" cy="63911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66675</xdr:rowOff>
    </xdr:from>
    <xdr:to>
      <xdr:col>8</xdr:col>
      <xdr:colOff>485775</xdr:colOff>
      <xdr:row>15</xdr:row>
      <xdr:rowOff>57150</xdr:rowOff>
    </xdr:to>
    <xdr:pic>
      <xdr:nvPicPr>
        <xdr:cNvPr id="13261" name="Picture 1">
          <a:extLst>
            <a:ext uri="{FF2B5EF4-FFF2-40B4-BE49-F238E27FC236}">
              <a16:creationId xmlns:a16="http://schemas.microsoft.com/office/drawing/2014/main" id="{00000000-0008-0000-0200-0000C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23900"/>
          <a:ext cx="1819275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19</xdr:row>
      <xdr:rowOff>57150</xdr:rowOff>
    </xdr:from>
    <xdr:to>
      <xdr:col>8</xdr:col>
      <xdr:colOff>619125</xdr:colOff>
      <xdr:row>28</xdr:row>
      <xdr:rowOff>171450</xdr:rowOff>
    </xdr:to>
    <xdr:pic>
      <xdr:nvPicPr>
        <xdr:cNvPr id="13262" name="Picture 2">
          <a:extLst>
            <a:ext uri="{FF2B5EF4-FFF2-40B4-BE49-F238E27FC236}">
              <a16:creationId xmlns:a16="http://schemas.microsoft.com/office/drawing/2014/main" id="{00000000-0008-0000-0200-0000C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800475"/>
          <a:ext cx="200025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38100</xdr:rowOff>
    </xdr:from>
    <xdr:to>
      <xdr:col>9</xdr:col>
      <xdr:colOff>0</xdr:colOff>
      <xdr:row>92</xdr:row>
      <xdr:rowOff>130609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29350"/>
          <a:ext cx="8086725" cy="99699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92102</xdr:colOff>
      <xdr:row>14</xdr:row>
      <xdr:rowOff>22149</xdr:rowOff>
    </xdr:from>
    <xdr:to>
      <xdr:col>11</xdr:col>
      <xdr:colOff>6078</xdr:colOff>
      <xdr:row>24</xdr:row>
      <xdr:rowOff>231035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480" y="3045783"/>
          <a:ext cx="3056081" cy="258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10702</xdr:rowOff>
    </xdr:from>
    <xdr:to>
      <xdr:col>8</xdr:col>
      <xdr:colOff>32107</xdr:colOff>
      <xdr:row>11</xdr:row>
      <xdr:rowOff>36288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4241"/>
          <a:ext cx="6485562" cy="1941289"/>
        </a:xfrm>
        <a:prstGeom prst="rect">
          <a:avLst/>
        </a:prstGeom>
        <a:effectLst>
          <a:glow>
            <a:schemeClr val="accent1">
              <a:alpha val="79000"/>
            </a:schemeClr>
          </a:glow>
          <a:reflection endPos="0" dist="50800" dir="5400000" sy="-100000" algn="bl" rotWithShape="0"/>
          <a:softEdge rad="0"/>
        </a:effectLst>
      </xdr:spPr>
    </xdr:pic>
    <xdr:clientData/>
  </xdr:twoCellAnchor>
  <xdr:twoCellAnchor editAs="oneCell">
    <xdr:from>
      <xdr:col>12</xdr:col>
      <xdr:colOff>74916</xdr:colOff>
      <xdr:row>1</xdr:row>
      <xdr:rowOff>21406</xdr:rowOff>
    </xdr:from>
    <xdr:to>
      <xdr:col>37</xdr:col>
      <xdr:colOff>0</xdr:colOff>
      <xdr:row>13</xdr:row>
      <xdr:rowOff>139129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0871" y="684945"/>
          <a:ext cx="3371208" cy="23651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886200" cy="609600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0" y="1"/>
          <a:ext cx="3886200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136071</xdr:colOff>
      <xdr:row>11</xdr:row>
      <xdr:rowOff>0</xdr:rowOff>
    </xdr:from>
    <xdr:ext cx="680357" cy="3140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/>
      </xdr:nvSpPr>
      <xdr:spPr>
        <a:xfrm>
          <a:off x="5870121" y="2619375"/>
          <a:ext cx="680357" cy="314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 b="1"/>
        </a:p>
      </xdr:txBody>
    </xdr:sp>
    <xdr:clientData/>
  </xdr:oneCellAnchor>
  <xdr:oneCellAnchor>
    <xdr:from>
      <xdr:col>7</xdr:col>
      <xdr:colOff>552450</xdr:colOff>
      <xdr:row>11</xdr:row>
      <xdr:rowOff>0</xdr:rowOff>
    </xdr:from>
    <xdr:ext cx="923925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6286500" y="2619375"/>
          <a:ext cx="923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100" b="0"/>
        </a:p>
      </xdr:txBody>
    </xdr:sp>
    <xdr:clientData/>
  </xdr:oneCellAnchor>
  <xdr:oneCellAnchor>
    <xdr:from>
      <xdr:col>4</xdr:col>
      <xdr:colOff>571500</xdr:colOff>
      <xdr:row>11</xdr:row>
      <xdr:rowOff>0</xdr:rowOff>
    </xdr:from>
    <xdr:ext cx="171450" cy="160972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5391150" y="2619375"/>
          <a:ext cx="171450" cy="1609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8</xdr:col>
      <xdr:colOff>123823</xdr:colOff>
      <xdr:row>11</xdr:row>
      <xdr:rowOff>0</xdr:rowOff>
    </xdr:from>
    <xdr:ext cx="304801" cy="146684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7619998" y="2619375"/>
          <a:ext cx="304801" cy="1466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385281</xdr:colOff>
      <xdr:row>11</xdr:row>
      <xdr:rowOff>0</xdr:rowOff>
    </xdr:from>
    <xdr:ext cx="438793" cy="25976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5204931" y="2619375"/>
          <a:ext cx="438793" cy="259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58775" cy="5905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0" y="0"/>
          <a:ext cx="130587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ВЫПИСКА И СХЕМА МОНТАЖА </a:t>
          </a:r>
          <a:r>
            <a:rPr lang="en-US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TIP-ON BLUMOTION </a:t>
          </a:r>
          <a:r>
            <a:rPr lang="ru-RU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2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4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TANDEMBOX</a:t>
          </a:r>
          <a:endParaRPr lang="ru-RU" sz="2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235</xdr:row>
      <xdr:rowOff>130970</xdr:rowOff>
    </xdr:from>
    <xdr:to>
      <xdr:col>37</xdr:col>
      <xdr:colOff>357188</xdr:colOff>
      <xdr:row>309</xdr:row>
      <xdr:rowOff>180976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22345"/>
          <a:ext cx="12942094" cy="14147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37</xdr:col>
      <xdr:colOff>345282</xdr:colOff>
      <xdr:row>366</xdr:row>
      <xdr:rowOff>95250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78875"/>
          <a:ext cx="12930188" cy="1076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37</xdr:col>
      <xdr:colOff>345282</xdr:colOff>
      <xdr:row>447</xdr:row>
      <xdr:rowOff>47625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37375"/>
          <a:ext cx="12930188" cy="1528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37</xdr:col>
      <xdr:colOff>297656</xdr:colOff>
      <xdr:row>528</xdr:row>
      <xdr:rowOff>85725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677375"/>
          <a:ext cx="12882562" cy="1551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37</xdr:col>
      <xdr:colOff>285750</xdr:colOff>
      <xdr:row>609</xdr:row>
      <xdr:rowOff>38100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98375"/>
          <a:ext cx="12870656" cy="1527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476250</xdr:colOff>
      <xdr:row>16</xdr:row>
      <xdr:rowOff>5737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83406"/>
          <a:ext cx="4512469" cy="2994206"/>
        </a:xfrm>
        <a:prstGeom prst="rect">
          <a:avLst/>
        </a:prstGeom>
      </xdr:spPr>
    </xdr:pic>
    <xdr:clientData/>
  </xdr:twoCellAnchor>
  <xdr:twoCellAnchor editAs="oneCell">
    <xdr:from>
      <xdr:col>3</xdr:col>
      <xdr:colOff>452439</xdr:colOff>
      <xdr:row>1</xdr:row>
      <xdr:rowOff>11906</xdr:rowOff>
    </xdr:from>
    <xdr:to>
      <xdr:col>37</xdr:col>
      <xdr:colOff>428625</xdr:colOff>
      <xdr:row>16</xdr:row>
      <xdr:rowOff>2851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88658" y="595312"/>
          <a:ext cx="8524873" cy="29794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11906</xdr:rowOff>
    </xdr:from>
    <xdr:to>
      <xdr:col>38</xdr:col>
      <xdr:colOff>0</xdr:colOff>
      <xdr:row>36</xdr:row>
      <xdr:rowOff>56160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583781"/>
          <a:ext cx="13037344" cy="38542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190499</xdr:rowOff>
    </xdr:from>
    <xdr:to>
      <xdr:col>38</xdr:col>
      <xdr:colOff>29074</xdr:colOff>
      <xdr:row>62</xdr:row>
      <xdr:rowOff>166686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7572374"/>
          <a:ext cx="13066418" cy="492918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63</xdr:row>
      <xdr:rowOff>0</xdr:rowOff>
    </xdr:from>
    <xdr:to>
      <xdr:col>38</xdr:col>
      <xdr:colOff>23812</xdr:colOff>
      <xdr:row>93</xdr:row>
      <xdr:rowOff>121667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" y="12525375"/>
          <a:ext cx="13037344" cy="583666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93</xdr:row>
      <xdr:rowOff>142873</xdr:rowOff>
    </xdr:from>
    <xdr:to>
      <xdr:col>7</xdr:col>
      <xdr:colOff>357187</xdr:colOff>
      <xdr:row>121</xdr:row>
      <xdr:rowOff>130969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06" y="18383248"/>
          <a:ext cx="6084094" cy="5322096"/>
        </a:xfrm>
        <a:prstGeom prst="rect">
          <a:avLst/>
        </a:prstGeom>
      </xdr:spPr>
    </xdr:pic>
    <xdr:clientData/>
  </xdr:twoCellAnchor>
  <xdr:twoCellAnchor editAs="oneCell">
    <xdr:from>
      <xdr:col>7</xdr:col>
      <xdr:colOff>394608</xdr:colOff>
      <xdr:row>93</xdr:row>
      <xdr:rowOff>130969</xdr:rowOff>
    </xdr:from>
    <xdr:to>
      <xdr:col>38</xdr:col>
      <xdr:colOff>11906</xdr:colOff>
      <xdr:row>113</xdr:row>
      <xdr:rowOff>142875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33421" y="18371344"/>
          <a:ext cx="6915829" cy="3821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178593</xdr:rowOff>
    </xdr:from>
    <xdr:to>
      <xdr:col>7</xdr:col>
      <xdr:colOff>380999</xdr:colOff>
      <xdr:row>138</xdr:row>
      <xdr:rowOff>141848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3562468"/>
          <a:ext cx="6119812" cy="3392255"/>
        </a:xfrm>
        <a:prstGeom prst="rect">
          <a:avLst/>
        </a:prstGeom>
      </xdr:spPr>
    </xdr:pic>
    <xdr:clientData/>
  </xdr:twoCellAnchor>
  <xdr:twoCellAnchor editAs="oneCell">
    <xdr:from>
      <xdr:col>7</xdr:col>
      <xdr:colOff>392906</xdr:colOff>
      <xdr:row>113</xdr:row>
      <xdr:rowOff>142874</xdr:rowOff>
    </xdr:from>
    <xdr:to>
      <xdr:col>38</xdr:col>
      <xdr:colOff>11906</xdr:colOff>
      <xdr:row>139</xdr:row>
      <xdr:rowOff>59531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131719" y="22193249"/>
          <a:ext cx="6917531" cy="4869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130968</xdr:rowOff>
    </xdr:from>
    <xdr:to>
      <xdr:col>37</xdr:col>
      <xdr:colOff>440531</xdr:colOff>
      <xdr:row>143</xdr:row>
      <xdr:rowOff>11905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6943843"/>
          <a:ext cx="13025437" cy="8334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95249</xdr:rowOff>
    </xdr:from>
    <xdr:to>
      <xdr:col>38</xdr:col>
      <xdr:colOff>0</xdr:colOff>
      <xdr:row>173</xdr:row>
      <xdr:rowOff>38924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60624"/>
          <a:ext cx="13037344" cy="565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16</xdr:row>
      <xdr:rowOff>28575</xdr:rowOff>
    </xdr:from>
    <xdr:to>
      <xdr:col>8</xdr:col>
      <xdr:colOff>695325</xdr:colOff>
      <xdr:row>29</xdr:row>
      <xdr:rowOff>114300</xdr:rowOff>
    </xdr:to>
    <xdr:pic>
      <xdr:nvPicPr>
        <xdr:cNvPr id="15632" name="Рисунок 1">
          <a:extLst>
            <a:ext uri="{FF2B5EF4-FFF2-40B4-BE49-F238E27FC236}">
              <a16:creationId xmlns:a16="http://schemas.microsoft.com/office/drawing/2014/main" id="{00000000-0008-0000-1600-000010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695700"/>
          <a:ext cx="39814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1516257</xdr:colOff>
      <xdr:row>0</xdr:row>
      <xdr:rowOff>8284</xdr:rowOff>
    </xdr:from>
    <xdr:ext cx="8115876" cy="53008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516257" y="8284"/>
          <a:ext cx="8115876" cy="53008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24848</xdr:colOff>
      <xdr:row>0</xdr:row>
      <xdr:rowOff>0</xdr:rowOff>
    </xdr:from>
    <xdr:ext cx="8647043" cy="521804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4848" y="0"/>
          <a:ext cx="8647043" cy="52180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intivo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66675</xdr:colOff>
      <xdr:row>46</xdr:row>
      <xdr:rowOff>38100</xdr:rowOff>
    </xdr:from>
    <xdr:to>
      <xdr:col>8</xdr:col>
      <xdr:colOff>809625</xdr:colOff>
      <xdr:row>59</xdr:row>
      <xdr:rowOff>123825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705225"/>
          <a:ext cx="413385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60</xdr:row>
      <xdr:rowOff>28575</xdr:rowOff>
    </xdr:from>
    <xdr:to>
      <xdr:col>8</xdr:col>
      <xdr:colOff>828675</xdr:colOff>
      <xdr:row>73</xdr:row>
      <xdr:rowOff>161925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000750"/>
          <a:ext cx="419100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8284</xdr:colOff>
      <xdr:row>30</xdr:row>
      <xdr:rowOff>8284</xdr:rowOff>
    </xdr:from>
    <xdr:ext cx="8680174" cy="546651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8284" y="8284"/>
          <a:ext cx="8680174" cy="546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antaro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19050</xdr:colOff>
      <xdr:row>90</xdr:row>
      <xdr:rowOff>28575</xdr:rowOff>
    </xdr:from>
    <xdr:to>
      <xdr:col>8</xdr:col>
      <xdr:colOff>800100</xdr:colOff>
      <xdr:row>104</xdr:row>
      <xdr:rowOff>9525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686175"/>
          <a:ext cx="41719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41414</xdr:colOff>
      <xdr:row>74</xdr:row>
      <xdr:rowOff>41414</xdr:rowOff>
    </xdr:from>
    <xdr:ext cx="8655326" cy="472108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/>
      </xdr:nvSpPr>
      <xdr:spPr>
        <a:xfrm>
          <a:off x="41414" y="41414"/>
          <a:ext cx="8655326" cy="47210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</a:t>
          </a:r>
          <a:r>
            <a:rPr lang="en-US" sz="32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plus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6</xdr:col>
      <xdr:colOff>781050</xdr:colOff>
      <xdr:row>35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29100"/>
          <a:ext cx="8496300" cy="50863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9</xdr:row>
      <xdr:rowOff>38101</xdr:rowOff>
    </xdr:from>
    <xdr:to>
      <xdr:col>8</xdr:col>
      <xdr:colOff>1476375</xdr:colOff>
      <xdr:row>19</xdr:row>
      <xdr:rowOff>190501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6" y="4229101"/>
          <a:ext cx="2943224" cy="20574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40190</xdr:rowOff>
    </xdr:from>
    <xdr:to>
      <xdr:col>6</xdr:col>
      <xdr:colOff>971550</xdr:colOff>
      <xdr:row>32</xdr:row>
      <xdr:rowOff>135968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0403"/>
          <a:ext cx="8719324" cy="4765352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304802</xdr:colOff>
      <xdr:row>7</xdr:row>
      <xdr:rowOff>28575</xdr:rowOff>
    </xdr:from>
    <xdr:to>
      <xdr:col>8</xdr:col>
      <xdr:colOff>1219201</xdr:colOff>
      <xdr:row>12</xdr:row>
      <xdr:rowOff>161925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7" y="3419475"/>
          <a:ext cx="2409824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7</xdr:row>
      <xdr:rowOff>19050</xdr:rowOff>
    </xdr:from>
    <xdr:to>
      <xdr:col>10</xdr:col>
      <xdr:colOff>0</xdr:colOff>
      <xdr:row>12</xdr:row>
      <xdr:rowOff>171450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3409950"/>
          <a:ext cx="15525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17190</xdr:rowOff>
    </xdr:from>
    <xdr:to>
      <xdr:col>1</xdr:col>
      <xdr:colOff>3087774</xdr:colOff>
      <xdr:row>1</xdr:row>
      <xdr:rowOff>1409699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571943"/>
          <a:ext cx="3675813" cy="1392509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</xdr:row>
      <xdr:rowOff>76200</xdr:rowOff>
    </xdr:from>
    <xdr:to>
      <xdr:col>3</xdr:col>
      <xdr:colOff>1981200</xdr:colOff>
      <xdr:row>1</xdr:row>
      <xdr:rowOff>1390650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542925"/>
          <a:ext cx="1590675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</xdr:row>
      <xdr:rowOff>28575</xdr:rowOff>
    </xdr:from>
    <xdr:to>
      <xdr:col>2</xdr:col>
      <xdr:colOff>2047875</xdr:colOff>
      <xdr:row>1</xdr:row>
      <xdr:rowOff>1390650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3300" y="495300"/>
          <a:ext cx="1628775" cy="13620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1</xdr:rowOff>
    </xdr:from>
    <xdr:to>
      <xdr:col>5</xdr:col>
      <xdr:colOff>1</xdr:colOff>
      <xdr:row>2</xdr:row>
      <xdr:rowOff>20935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8571" y="554754"/>
          <a:ext cx="2784231" cy="144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28575</xdr:colOff>
      <xdr:row>59</xdr:row>
      <xdr:rowOff>114300</xdr:rowOff>
    </xdr:to>
    <xdr:pic>
      <xdr:nvPicPr>
        <xdr:cNvPr id="8150" name="Рисунок 1">
          <a:extLst>
            <a:ext uri="{FF2B5EF4-FFF2-40B4-BE49-F238E27FC236}">
              <a16:creationId xmlns:a16="http://schemas.microsoft.com/office/drawing/2014/main" id="{00000000-0008-0000-0300-0000D6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152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85725</xdr:rowOff>
    </xdr:from>
    <xdr:to>
      <xdr:col>6</xdr:col>
      <xdr:colOff>1066800</xdr:colOff>
      <xdr:row>115</xdr:row>
      <xdr:rowOff>38100</xdr:rowOff>
    </xdr:to>
    <xdr:pic>
      <xdr:nvPicPr>
        <xdr:cNvPr id="8151" name="Рисунок 2">
          <a:extLst>
            <a:ext uri="{FF2B5EF4-FFF2-40B4-BE49-F238E27FC236}">
              <a16:creationId xmlns:a16="http://schemas.microsoft.com/office/drawing/2014/main" id="{00000000-0008-0000-0300-0000D7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7877175" cy="1000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47166</xdr:colOff>
      <xdr:row>2</xdr:row>
      <xdr:rowOff>63336</xdr:rowOff>
    </xdr:from>
    <xdr:ext cx="1986760" cy="2336132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9696" y="911293"/>
          <a:ext cx="1986760" cy="233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1</xdr:rowOff>
    </xdr:from>
    <xdr:ext cx="12136694" cy="609600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1"/>
          <a:ext cx="12136694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HS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59</xdr:row>
      <xdr:rowOff>95250</xdr:rowOff>
    </xdr:to>
    <xdr:pic>
      <xdr:nvPicPr>
        <xdr:cNvPr id="4587" name="Рисунок 1">
          <a:extLst>
            <a:ext uri="{FF2B5EF4-FFF2-40B4-BE49-F238E27FC236}">
              <a16:creationId xmlns:a16="http://schemas.microsoft.com/office/drawing/2014/main" id="{00000000-0008-0000-0500-0000E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5352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24930" cy="51557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8624930" cy="5155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HL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16691</xdr:colOff>
      <xdr:row>8</xdr:row>
      <xdr:rowOff>46839</xdr:rowOff>
    </xdr:from>
    <xdr:to>
      <xdr:col>8</xdr:col>
      <xdr:colOff>1755658</xdr:colOff>
      <xdr:row>13</xdr:row>
      <xdr:rowOff>316946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66" y="2580489"/>
          <a:ext cx="1738967" cy="2394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59</xdr:row>
      <xdr:rowOff>54952</xdr:rowOff>
    </xdr:to>
    <xdr:pic>
      <xdr:nvPicPr>
        <xdr:cNvPr id="8682" name="Рисунок 1">
          <a:extLst>
            <a:ext uri="{FF2B5EF4-FFF2-40B4-BE49-F238E27FC236}">
              <a16:creationId xmlns:a16="http://schemas.microsoft.com/office/drawing/2014/main" id="{00000000-0008-0000-0700-0000EA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10056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85724</xdr:rowOff>
    </xdr:from>
    <xdr:to>
      <xdr:col>7</xdr:col>
      <xdr:colOff>782434</xdr:colOff>
      <xdr:row>84</xdr:row>
      <xdr:rowOff>28574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63124"/>
          <a:ext cx="8259559" cy="4314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9526</xdr:rowOff>
    </xdr:from>
    <xdr:ext cx="9048750" cy="600074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9050" y="9526"/>
          <a:ext cx="9048750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38100</xdr:colOff>
      <xdr:row>1</xdr:row>
      <xdr:rowOff>9526</xdr:rowOff>
    </xdr:from>
    <xdr:to>
      <xdr:col>8</xdr:col>
      <xdr:colOff>0</xdr:colOff>
      <xdr:row>6</xdr:row>
      <xdr:rowOff>234770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647701"/>
          <a:ext cx="2628900" cy="1558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7105650</xdr:colOff>
      <xdr:row>59</xdr:row>
      <xdr:rowOff>142875</xdr:rowOff>
    </xdr:to>
    <xdr:pic>
      <xdr:nvPicPr>
        <xdr:cNvPr id="5611" name="Рисунок 1">
          <a:extLst>
            <a:ext uri="{FF2B5EF4-FFF2-40B4-BE49-F238E27FC236}">
              <a16:creationId xmlns:a16="http://schemas.microsoft.com/office/drawing/2014/main" id="{00000000-0008-0000-0900-0000EB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105650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lications.blum.com/2018/catalogue/ru/454/" TargetMode="External"/><Relationship Id="rId13" Type="http://schemas.openxmlformats.org/officeDocument/2006/relationships/hyperlink" Target="https://publications.blum.com/2018/catalogue/ru/220/" TargetMode="External"/><Relationship Id="rId3" Type="http://schemas.openxmlformats.org/officeDocument/2006/relationships/hyperlink" Target="http://www.blum.com/by/ru/01/10/30/" TargetMode="External"/><Relationship Id="rId7" Type="http://schemas.openxmlformats.org/officeDocument/2006/relationships/hyperlink" Target="https://publications.blum.com/2018/catalogue/ru/263/" TargetMode="External"/><Relationship Id="rId12" Type="http://schemas.openxmlformats.org/officeDocument/2006/relationships/hyperlink" Target="mailto:st@antarion.by?subject=&#1050;&#1072;&#1083;&#1100;&#1082;&#1091;&#1083;&#1103;&#1090;&#1086;&#1088;%20BLUM%202016" TargetMode="External"/><Relationship Id="rId2" Type="http://schemas.openxmlformats.org/officeDocument/2006/relationships/hyperlink" Target="http://www.blum.com/by/ru/01/10/20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www.blum.com/by/ru/01/10/10/" TargetMode="External"/><Relationship Id="rId6" Type="http://schemas.openxmlformats.org/officeDocument/2006/relationships/hyperlink" Target="http://www.blum.com/by/ru/01/10/60/" TargetMode="External"/><Relationship Id="rId11" Type="http://schemas.openxmlformats.org/officeDocument/2006/relationships/hyperlink" Target="mailto:sergeytv@pan-invest.com?subject=&#1050;&#1072;&#1083;&#1100;&#1082;&#1091;&#1083;&#1103;&#1090;&#1086;&#1088;%20BLUM%202016" TargetMode="External"/><Relationship Id="rId5" Type="http://schemas.openxmlformats.org/officeDocument/2006/relationships/hyperlink" Target="http://www.blum.com/by/ru/01/10/50/" TargetMode="External"/><Relationship Id="rId15" Type="http://schemas.openxmlformats.org/officeDocument/2006/relationships/hyperlink" Target="https://publications.blum.com/2018/catalogue/ru/263/" TargetMode="External"/><Relationship Id="rId10" Type="http://schemas.openxmlformats.org/officeDocument/2006/relationships/hyperlink" Target="https://publications.blum.com/2018/catalogue/ru/373/" TargetMode="External"/><Relationship Id="rId4" Type="http://schemas.openxmlformats.org/officeDocument/2006/relationships/hyperlink" Target="http://www.blum.com/by/ru/01/10/40/" TargetMode="External"/><Relationship Id="rId9" Type="http://schemas.openxmlformats.org/officeDocument/2006/relationships/hyperlink" Target="https://publications.blum.com/2018/catalogue/ru/279/" TargetMode="External"/><Relationship Id="rId14" Type="http://schemas.openxmlformats.org/officeDocument/2006/relationships/hyperlink" Target="https://publications.blum.com/2018/catalogue/ru/298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4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53"/>
  <sheetViews>
    <sheetView showGridLines="0" showRowColHeaders="0" zoomScale="95" zoomScaleNormal="95" zoomScaleSheetLayoutView="93" workbookViewId="0">
      <selection activeCell="A4" sqref="A4:X4"/>
    </sheetView>
  </sheetViews>
  <sheetFormatPr defaultRowHeight="12.75" x14ac:dyDescent="0.2"/>
  <cols>
    <col min="3" max="3" width="10.85546875" customWidth="1"/>
    <col min="4" max="4" width="11.7109375" customWidth="1"/>
    <col min="6" max="6" width="6.85546875" customWidth="1"/>
    <col min="7" max="7" width="7.85546875" customWidth="1"/>
    <col min="8" max="8" width="5.42578125" customWidth="1"/>
    <col min="9" max="9" width="8.42578125" customWidth="1"/>
    <col min="10" max="10" width="3.7109375" hidden="1" customWidth="1"/>
    <col min="11" max="12" width="9.140625" hidden="1" customWidth="1"/>
    <col min="13" max="13" width="6.85546875" hidden="1" customWidth="1"/>
    <col min="14" max="22" width="9.140625" hidden="1" customWidth="1"/>
    <col min="23" max="23" width="9" customWidth="1"/>
    <col min="24" max="24" width="13.42578125" customWidth="1"/>
    <col min="25" max="25" width="68.85546875" customWidth="1"/>
    <col min="26" max="26" width="28.85546875" customWidth="1"/>
    <col min="27" max="27" width="9.140625" hidden="1" customWidth="1"/>
  </cols>
  <sheetData>
    <row r="1" spans="1:29" ht="19.5" customHeight="1" x14ac:dyDescent="0.2">
      <c r="A1" s="865" t="s">
        <v>524</v>
      </c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7"/>
    </row>
    <row r="2" spans="1:29" ht="16.5" customHeight="1" x14ac:dyDescent="0.2">
      <c r="A2" s="868"/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869"/>
      <c r="X2" s="869"/>
      <c r="Y2" s="870"/>
    </row>
    <row r="3" spans="1:29" ht="17.25" customHeight="1" thickBot="1" x14ac:dyDescent="0.25">
      <c r="A3" s="871"/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872"/>
      <c r="T3" s="872"/>
      <c r="U3" s="872"/>
      <c r="V3" s="872"/>
      <c r="W3" s="872"/>
      <c r="X3" s="872"/>
      <c r="Y3" s="873"/>
    </row>
    <row r="4" spans="1:29" ht="20.25" customHeight="1" x14ac:dyDescent="0.2">
      <c r="A4" s="853" t="s">
        <v>527</v>
      </c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3"/>
      <c r="N4" s="853"/>
      <c r="O4" s="853"/>
      <c r="P4" s="853"/>
      <c r="Q4" s="853"/>
      <c r="R4" s="853"/>
      <c r="S4" s="853"/>
      <c r="T4" s="853"/>
      <c r="U4" s="853"/>
      <c r="V4" s="853"/>
      <c r="W4" s="853"/>
      <c r="X4" s="853"/>
      <c r="Y4" s="878" t="s">
        <v>541</v>
      </c>
    </row>
    <row r="5" spans="1:29" ht="21" customHeight="1" x14ac:dyDescent="0.2">
      <c r="A5" s="854" t="s">
        <v>526</v>
      </c>
      <c r="B5" s="855"/>
      <c r="C5" s="855"/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79"/>
    </row>
    <row r="6" spans="1:29" ht="20.25" customHeight="1" x14ac:dyDescent="0.2">
      <c r="A6" s="854" t="s">
        <v>525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54"/>
      <c r="S6" s="854"/>
      <c r="T6" s="854"/>
      <c r="U6" s="854"/>
      <c r="V6" s="854"/>
      <c r="W6" s="854"/>
      <c r="X6" s="854"/>
      <c r="Y6" s="879"/>
    </row>
    <row r="7" spans="1:29" ht="21" customHeight="1" x14ac:dyDescent="0.2">
      <c r="A7" s="854" t="s">
        <v>528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54"/>
      <c r="S7" s="854"/>
      <c r="T7" s="854"/>
      <c r="U7" s="854"/>
      <c r="V7" s="854"/>
      <c r="W7" s="854"/>
      <c r="X7" s="854"/>
      <c r="Y7" s="859" t="s">
        <v>541</v>
      </c>
    </row>
    <row r="8" spans="1:29" ht="20.25" customHeight="1" x14ac:dyDescent="0.2">
      <c r="A8" s="856" t="s">
        <v>529</v>
      </c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  <c r="Q8" s="854"/>
      <c r="R8" s="854"/>
      <c r="S8" s="854"/>
      <c r="T8" s="854"/>
      <c r="U8" s="854"/>
      <c r="V8" s="854"/>
      <c r="W8" s="854"/>
      <c r="X8" s="854"/>
      <c r="Y8" s="859"/>
    </row>
    <row r="9" spans="1:29" ht="21" customHeight="1" x14ac:dyDescent="0.2">
      <c r="A9" s="854" t="s">
        <v>530</v>
      </c>
      <c r="B9" s="860"/>
      <c r="C9" s="860"/>
      <c r="D9" s="860"/>
      <c r="E9" s="860"/>
      <c r="F9" s="860"/>
      <c r="G9" s="860"/>
      <c r="H9" s="860"/>
      <c r="I9" s="860"/>
      <c r="J9" s="860"/>
      <c r="K9" s="860"/>
      <c r="L9" s="860"/>
      <c r="M9" s="860"/>
      <c r="N9" s="860"/>
      <c r="O9" s="860"/>
      <c r="P9" s="860"/>
      <c r="Q9" s="860"/>
      <c r="R9" s="860"/>
      <c r="S9" s="860"/>
      <c r="T9" s="860"/>
      <c r="U9" s="860"/>
      <c r="V9" s="860"/>
      <c r="W9" s="860"/>
      <c r="X9" s="860"/>
      <c r="Y9" s="859" t="s">
        <v>541</v>
      </c>
    </row>
    <row r="10" spans="1:29" ht="21" customHeight="1" x14ac:dyDescent="0.2">
      <c r="A10" s="854" t="s">
        <v>532</v>
      </c>
      <c r="B10" s="860"/>
      <c r="C10" s="860"/>
      <c r="D10" s="860"/>
      <c r="E10" s="860"/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60"/>
      <c r="W10" s="860"/>
      <c r="X10" s="860"/>
      <c r="Y10" s="859"/>
    </row>
    <row r="11" spans="1:29" ht="19.5" customHeight="1" x14ac:dyDescent="0.2">
      <c r="A11" s="854" t="s">
        <v>531</v>
      </c>
      <c r="B11" s="854"/>
      <c r="C11" s="854"/>
      <c r="D11" s="854"/>
      <c r="E11" s="854"/>
      <c r="F11" s="854"/>
      <c r="G11" s="854"/>
      <c r="H11" s="854"/>
      <c r="I11" s="854"/>
      <c r="J11" s="854"/>
      <c r="K11" s="854"/>
      <c r="L11" s="854"/>
      <c r="M11" s="854"/>
      <c r="N11" s="854"/>
      <c r="O11" s="854"/>
      <c r="P11" s="854"/>
      <c r="Q11" s="854"/>
      <c r="R11" s="854"/>
      <c r="S11" s="854"/>
      <c r="T11" s="854"/>
      <c r="U11" s="854"/>
      <c r="V11" s="854"/>
      <c r="W11" s="854"/>
      <c r="X11" s="854"/>
      <c r="Y11" s="859" t="s">
        <v>541</v>
      </c>
    </row>
    <row r="12" spans="1:29" ht="21.75" customHeight="1" x14ac:dyDescent="0.2">
      <c r="A12" s="854" t="s">
        <v>533</v>
      </c>
      <c r="B12" s="854"/>
      <c r="C12" s="854"/>
      <c r="D12" s="854"/>
      <c r="E12" s="854"/>
      <c r="F12" s="854"/>
      <c r="G12" s="854"/>
      <c r="H12" s="854"/>
      <c r="I12" s="854"/>
      <c r="J12" s="854"/>
      <c r="K12" s="854"/>
      <c r="L12" s="854"/>
      <c r="M12" s="854"/>
      <c r="N12" s="854"/>
      <c r="O12" s="854"/>
      <c r="P12" s="854"/>
      <c r="Q12" s="854"/>
      <c r="R12" s="854"/>
      <c r="S12" s="854"/>
      <c r="T12" s="854"/>
      <c r="U12" s="854"/>
      <c r="V12" s="854"/>
      <c r="W12" s="854"/>
      <c r="X12" s="854"/>
      <c r="Y12" s="859"/>
      <c r="AC12" s="19"/>
    </row>
    <row r="13" spans="1:29" ht="21.75" customHeight="1" x14ac:dyDescent="0.2">
      <c r="A13" s="861" t="s">
        <v>680</v>
      </c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3"/>
      <c r="Y13" s="859" t="s">
        <v>541</v>
      </c>
      <c r="AC13" s="19"/>
    </row>
    <row r="14" spans="1:29" ht="21.75" customHeight="1" x14ac:dyDescent="0.2">
      <c r="A14" s="861" t="s">
        <v>679</v>
      </c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3"/>
      <c r="Y14" s="859"/>
      <c r="AC14" s="19"/>
    </row>
    <row r="15" spans="1:29" ht="21.75" customHeight="1" x14ac:dyDescent="0.2">
      <c r="A15" s="854" t="s">
        <v>610</v>
      </c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854"/>
      <c r="R15" s="854"/>
      <c r="S15" s="854"/>
      <c r="T15" s="854"/>
      <c r="U15" s="854"/>
      <c r="V15" s="854"/>
      <c r="W15" s="854"/>
      <c r="X15" s="854"/>
      <c r="Y15" s="859" t="s">
        <v>541</v>
      </c>
    </row>
    <row r="16" spans="1:29" ht="21.75" customHeight="1" x14ac:dyDescent="0.2">
      <c r="A16" s="854" t="s">
        <v>611</v>
      </c>
      <c r="B16" s="860"/>
      <c r="C16" s="860"/>
      <c r="D16" s="860"/>
      <c r="E16" s="860"/>
      <c r="F16" s="860"/>
      <c r="G16" s="860"/>
      <c r="H16" s="860"/>
      <c r="I16" s="860"/>
      <c r="J16" s="860"/>
      <c r="K16" s="860"/>
      <c r="L16" s="860"/>
      <c r="M16" s="860"/>
      <c r="N16" s="860"/>
      <c r="O16" s="860"/>
      <c r="P16" s="860"/>
      <c r="Q16" s="860"/>
      <c r="R16" s="860"/>
      <c r="S16" s="860"/>
      <c r="T16" s="860"/>
      <c r="U16" s="860"/>
      <c r="V16" s="860"/>
      <c r="W16" s="860"/>
      <c r="X16" s="860"/>
      <c r="Y16" s="859"/>
    </row>
    <row r="17" spans="1:26" ht="22.5" customHeight="1" x14ac:dyDescent="0.2">
      <c r="A17" s="854" t="s">
        <v>612</v>
      </c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54"/>
      <c r="S17" s="854"/>
      <c r="T17" s="854"/>
      <c r="U17" s="854"/>
      <c r="V17" s="854"/>
      <c r="W17" s="854"/>
      <c r="X17" s="854"/>
      <c r="Y17" s="859" t="s">
        <v>541</v>
      </c>
    </row>
    <row r="18" spans="1:26" ht="24.75" customHeight="1" x14ac:dyDescent="0.2">
      <c r="A18" s="854" t="s">
        <v>613</v>
      </c>
      <c r="B18" s="860"/>
      <c r="C18" s="860"/>
      <c r="D18" s="860"/>
      <c r="E18" s="860"/>
      <c r="F18" s="860"/>
      <c r="G18" s="860"/>
      <c r="H18" s="860"/>
      <c r="I18" s="860"/>
      <c r="J18" s="860"/>
      <c r="K18" s="860"/>
      <c r="L18" s="860"/>
      <c r="M18" s="860"/>
      <c r="N18" s="860"/>
      <c r="O18" s="860"/>
      <c r="P18" s="860"/>
      <c r="Q18" s="860"/>
      <c r="R18" s="860"/>
      <c r="S18" s="860"/>
      <c r="T18" s="860"/>
      <c r="U18" s="860"/>
      <c r="V18" s="860"/>
      <c r="W18" s="860"/>
      <c r="X18" s="860"/>
      <c r="Y18" s="859"/>
    </row>
    <row r="19" spans="1:26" ht="22.5" customHeight="1" x14ac:dyDescent="0.2">
      <c r="A19" s="854" t="s">
        <v>614</v>
      </c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54"/>
      <c r="S19" s="854"/>
      <c r="T19" s="854"/>
      <c r="U19" s="854"/>
      <c r="V19" s="854"/>
      <c r="W19" s="854"/>
      <c r="X19" s="854"/>
      <c r="Y19" s="859" t="s">
        <v>541</v>
      </c>
    </row>
    <row r="20" spans="1:26" ht="26.25" customHeight="1" x14ac:dyDescent="0.2">
      <c r="A20" s="881" t="s">
        <v>615</v>
      </c>
      <c r="B20" s="881"/>
      <c r="C20" s="881"/>
      <c r="D20" s="881"/>
      <c r="E20" s="881"/>
      <c r="F20" s="881"/>
      <c r="G20" s="881"/>
      <c r="H20" s="881"/>
      <c r="I20" s="881"/>
      <c r="J20" s="881"/>
      <c r="K20" s="881"/>
      <c r="L20" s="881"/>
      <c r="M20" s="881"/>
      <c r="N20" s="881"/>
      <c r="O20" s="881"/>
      <c r="P20" s="881"/>
      <c r="Q20" s="881"/>
      <c r="R20" s="881"/>
      <c r="S20" s="881"/>
      <c r="T20" s="881"/>
      <c r="U20" s="881"/>
      <c r="V20" s="881"/>
      <c r="W20" s="881"/>
      <c r="X20" s="881"/>
      <c r="Y20" s="859"/>
    </row>
    <row r="21" spans="1:26" ht="23.25" customHeight="1" x14ac:dyDescent="0.2">
      <c r="A21" s="856" t="s">
        <v>616</v>
      </c>
      <c r="B21" s="854"/>
      <c r="C21" s="854"/>
      <c r="D21" s="854"/>
      <c r="E21" s="854"/>
      <c r="F21" s="854"/>
      <c r="G21" s="854"/>
      <c r="H21" s="854"/>
      <c r="I21" s="854"/>
      <c r="J21" s="854"/>
      <c r="K21" s="854"/>
      <c r="L21" s="854"/>
      <c r="M21" s="854"/>
      <c r="N21" s="854"/>
      <c r="O21" s="854"/>
      <c r="P21" s="854"/>
      <c r="Q21" s="854"/>
      <c r="R21" s="854"/>
      <c r="S21" s="854"/>
      <c r="T21" s="854"/>
      <c r="U21" s="854"/>
      <c r="V21" s="854"/>
      <c r="W21" s="854"/>
      <c r="X21" s="854"/>
      <c r="Y21" s="859" t="s">
        <v>541</v>
      </c>
    </row>
    <row r="22" spans="1:26" ht="24" customHeight="1" x14ac:dyDescent="0.2">
      <c r="A22" s="854" t="s">
        <v>617</v>
      </c>
      <c r="B22" s="854"/>
      <c r="C22" s="854"/>
      <c r="D22" s="854"/>
      <c r="E22" s="854"/>
      <c r="F22" s="854"/>
      <c r="G22" s="854"/>
      <c r="H22" s="854"/>
      <c r="I22" s="854"/>
      <c r="J22" s="854"/>
      <c r="K22" s="854"/>
      <c r="L22" s="854"/>
      <c r="M22" s="854"/>
      <c r="N22" s="854"/>
      <c r="O22" s="854"/>
      <c r="P22" s="854"/>
      <c r="Q22" s="854"/>
      <c r="R22" s="854"/>
      <c r="S22" s="854"/>
      <c r="T22" s="854"/>
      <c r="U22" s="854"/>
      <c r="V22" s="854"/>
      <c r="W22" s="854"/>
      <c r="X22" s="854"/>
      <c r="Y22" s="859"/>
    </row>
    <row r="23" spans="1:26" ht="24" customHeight="1" x14ac:dyDescent="0.2">
      <c r="A23" s="857" t="s">
        <v>618</v>
      </c>
      <c r="B23" s="858"/>
      <c r="C23" s="858"/>
      <c r="D23" s="858"/>
      <c r="E23" s="858"/>
      <c r="F23" s="858"/>
      <c r="G23" s="858"/>
      <c r="H23" s="858"/>
      <c r="I23" s="858"/>
      <c r="J23" s="858"/>
      <c r="K23" s="858"/>
      <c r="L23" s="858"/>
      <c r="M23" s="858"/>
      <c r="N23" s="858"/>
      <c r="O23" s="858"/>
      <c r="P23" s="858"/>
      <c r="Q23" s="858"/>
      <c r="R23" s="858"/>
      <c r="S23" s="858"/>
      <c r="T23" s="858"/>
      <c r="U23" s="858"/>
      <c r="V23" s="858"/>
      <c r="W23" s="858"/>
      <c r="X23" s="858"/>
      <c r="Y23" s="859" t="s">
        <v>541</v>
      </c>
    </row>
    <row r="24" spans="1:26" ht="24" customHeight="1" x14ac:dyDescent="0.2">
      <c r="A24" s="857" t="s">
        <v>619</v>
      </c>
      <c r="B24" s="858"/>
      <c r="C24" s="858"/>
      <c r="D24" s="858"/>
      <c r="E24" s="858"/>
      <c r="F24" s="858"/>
      <c r="G24" s="858"/>
      <c r="H24" s="858"/>
      <c r="I24" s="858"/>
      <c r="J24" s="858"/>
      <c r="K24" s="858"/>
      <c r="L24" s="858"/>
      <c r="M24" s="858"/>
      <c r="N24" s="858"/>
      <c r="O24" s="858"/>
      <c r="P24" s="858"/>
      <c r="Q24" s="858"/>
      <c r="R24" s="858"/>
      <c r="S24" s="858"/>
      <c r="T24" s="858"/>
      <c r="U24" s="858"/>
      <c r="V24" s="858"/>
      <c r="W24" s="858"/>
      <c r="X24" s="858"/>
      <c r="Y24" s="859"/>
    </row>
    <row r="25" spans="1:26" ht="23.25" customHeight="1" x14ac:dyDescent="0.2">
      <c r="A25" s="856" t="s">
        <v>674</v>
      </c>
      <c r="B25" s="880"/>
      <c r="C25" s="880"/>
      <c r="D25" s="880"/>
      <c r="E25" s="880"/>
      <c r="F25" s="880"/>
      <c r="G25" s="880"/>
      <c r="H25" s="880"/>
      <c r="I25" s="880"/>
      <c r="J25" s="880"/>
      <c r="K25" s="880"/>
      <c r="L25" s="880"/>
      <c r="M25" s="880"/>
      <c r="N25" s="880"/>
      <c r="O25" s="880"/>
      <c r="P25" s="880"/>
      <c r="Q25" s="880"/>
      <c r="R25" s="880"/>
      <c r="S25" s="880"/>
      <c r="T25" s="880"/>
      <c r="U25" s="880"/>
      <c r="V25" s="880"/>
      <c r="W25" s="880"/>
      <c r="X25" s="880"/>
      <c r="Y25" s="739" t="s">
        <v>541</v>
      </c>
    </row>
    <row r="26" spans="1:26" ht="21" customHeight="1" x14ac:dyDescent="0.2">
      <c r="A26" s="857" t="s">
        <v>675</v>
      </c>
      <c r="B26" s="858"/>
      <c r="C26" s="858"/>
      <c r="D26" s="858"/>
      <c r="E26" s="858"/>
      <c r="F26" s="858"/>
      <c r="G26" s="858"/>
      <c r="H26" s="858"/>
      <c r="I26" s="858"/>
      <c r="J26" s="858"/>
      <c r="K26" s="858"/>
      <c r="L26" s="858"/>
      <c r="M26" s="858"/>
      <c r="N26" s="858"/>
      <c r="O26" s="858"/>
      <c r="P26" s="858"/>
      <c r="Q26" s="858"/>
      <c r="R26" s="858"/>
      <c r="S26" s="858"/>
      <c r="T26" s="858"/>
      <c r="U26" s="858"/>
      <c r="V26" s="858"/>
      <c r="W26" s="858"/>
      <c r="X26" s="858"/>
      <c r="Y26" s="739" t="s">
        <v>541</v>
      </c>
      <c r="Z26" s="19"/>
    </row>
    <row r="27" spans="1:26" ht="21" customHeight="1" x14ac:dyDescent="0.2">
      <c r="A27" s="857" t="s">
        <v>676</v>
      </c>
      <c r="B27" s="858"/>
      <c r="C27" s="858"/>
      <c r="D27" s="858"/>
      <c r="E27" s="858"/>
      <c r="F27" s="858"/>
      <c r="G27" s="858"/>
      <c r="H27" s="858"/>
      <c r="I27" s="858"/>
      <c r="J27" s="858"/>
      <c r="K27" s="858"/>
      <c r="L27" s="858"/>
      <c r="M27" s="858"/>
      <c r="N27" s="858"/>
      <c r="O27" s="858"/>
      <c r="P27" s="858"/>
      <c r="Q27" s="858"/>
      <c r="R27" s="858"/>
      <c r="S27" s="858"/>
      <c r="T27" s="858"/>
      <c r="U27" s="858"/>
      <c r="V27" s="858"/>
      <c r="W27" s="858"/>
      <c r="X27" s="858"/>
      <c r="Y27" s="739" t="s">
        <v>541</v>
      </c>
      <c r="Z27" s="19"/>
    </row>
    <row r="28" spans="1:26" ht="18" customHeight="1" x14ac:dyDescent="0.2">
      <c r="A28" s="854" t="s">
        <v>678</v>
      </c>
      <c r="B28" s="864"/>
      <c r="C28" s="864"/>
      <c r="D28" s="864"/>
      <c r="E28" s="864"/>
      <c r="F28" s="864"/>
      <c r="G28" s="864"/>
      <c r="H28" s="864"/>
      <c r="I28" s="864"/>
      <c r="J28" s="864"/>
      <c r="K28" s="864"/>
      <c r="L28" s="864"/>
      <c r="M28" s="864"/>
      <c r="N28" s="864"/>
      <c r="O28" s="864"/>
      <c r="P28" s="864"/>
      <c r="Q28" s="864"/>
      <c r="R28" s="864"/>
      <c r="S28" s="864"/>
      <c r="T28" s="864"/>
      <c r="U28" s="864"/>
      <c r="V28" s="864"/>
      <c r="W28" s="864"/>
      <c r="X28" s="864"/>
      <c r="Y28" s="739" t="s">
        <v>541</v>
      </c>
      <c r="Z28" s="19"/>
    </row>
    <row r="29" spans="1:26" ht="18" customHeight="1" x14ac:dyDescent="0.2">
      <c r="A29" s="843"/>
      <c r="B29" s="842"/>
      <c r="C29" s="842"/>
      <c r="D29" s="842"/>
      <c r="E29" s="842"/>
      <c r="F29" s="842"/>
      <c r="G29" s="842"/>
      <c r="H29" s="842"/>
      <c r="I29" s="842"/>
      <c r="J29" s="842"/>
      <c r="K29" s="842"/>
      <c r="L29" s="842"/>
      <c r="M29" s="842"/>
      <c r="N29" s="842"/>
      <c r="O29" s="842"/>
      <c r="P29" s="842"/>
      <c r="Q29" s="842"/>
      <c r="R29" s="842"/>
      <c r="S29" s="842"/>
      <c r="T29" s="842"/>
      <c r="U29" s="842"/>
      <c r="V29" s="842"/>
      <c r="W29" s="842"/>
      <c r="X29" s="842"/>
      <c r="Y29" s="844"/>
    </row>
    <row r="30" spans="1:26" ht="15" x14ac:dyDescent="0.2">
      <c r="A30" s="419"/>
      <c r="B30" s="420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90"/>
    </row>
    <row r="31" spans="1:26" ht="15" x14ac:dyDescent="0.2">
      <c r="A31" s="445" t="s">
        <v>554</v>
      </c>
      <c r="B31" s="420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90"/>
    </row>
    <row r="32" spans="1:26" ht="15" x14ac:dyDescent="0.2">
      <c r="A32" s="419"/>
      <c r="B32" s="444" t="s">
        <v>547</v>
      </c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90"/>
    </row>
    <row r="33" spans="1:25" ht="15" x14ac:dyDescent="0.2">
      <c r="A33" s="419"/>
      <c r="B33" s="444" t="s">
        <v>548</v>
      </c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90"/>
    </row>
    <row r="34" spans="1:25" ht="15" x14ac:dyDescent="0.2">
      <c r="A34" s="419"/>
      <c r="B34" s="444" t="s">
        <v>553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90"/>
    </row>
    <row r="35" spans="1:25" ht="15" x14ac:dyDescent="0.2">
      <c r="A35" s="419"/>
      <c r="B35" s="444" t="s">
        <v>549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90"/>
    </row>
    <row r="36" spans="1:25" ht="15" x14ac:dyDescent="0.2">
      <c r="A36" s="445" t="s">
        <v>555</v>
      </c>
      <c r="B36" s="444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90"/>
    </row>
    <row r="37" spans="1:25" x14ac:dyDescent="0.2">
      <c r="A37" s="453"/>
      <c r="B37" s="453" t="s">
        <v>556</v>
      </c>
      <c r="C37" s="453"/>
      <c r="D37" s="453"/>
      <c r="E37" s="453"/>
      <c r="F37" s="453"/>
      <c r="G37" s="453"/>
      <c r="H37" s="453"/>
      <c r="I37" s="453"/>
      <c r="J37" s="453"/>
      <c r="K37" s="453"/>
      <c r="L37" s="453"/>
      <c r="M37" s="453"/>
      <c r="N37" s="453"/>
      <c r="O37" s="453"/>
      <c r="P37" s="453"/>
      <c r="Q37" s="453"/>
      <c r="R37" s="453"/>
      <c r="S37" s="453"/>
      <c r="T37" s="453"/>
      <c r="U37" s="453"/>
      <c r="V37" s="453"/>
      <c r="W37" s="453"/>
      <c r="X37" s="453"/>
    </row>
    <row r="38" spans="1:25" x14ac:dyDescent="0.2">
      <c r="A38" s="453"/>
      <c r="B38" s="453" t="s">
        <v>557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</row>
    <row r="39" spans="1:25" x14ac:dyDescent="0.2">
      <c r="A39" s="453"/>
      <c r="B39" s="453" t="s">
        <v>558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453"/>
      <c r="O39" s="453"/>
      <c r="P39" s="453"/>
      <c r="Q39" s="453"/>
      <c r="R39" s="453"/>
      <c r="S39" s="453"/>
      <c r="T39" s="453"/>
      <c r="U39" s="453"/>
      <c r="V39" s="453"/>
      <c r="W39" s="453"/>
      <c r="X39" s="453"/>
    </row>
    <row r="40" spans="1:25" x14ac:dyDescent="0.2">
      <c r="A40" s="453"/>
      <c r="B40" s="453"/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  <c r="O40" s="453"/>
      <c r="P40" s="453"/>
      <c r="Q40" s="453"/>
      <c r="R40" s="453"/>
      <c r="S40" s="453"/>
      <c r="T40" s="453"/>
      <c r="U40" s="453"/>
      <c r="V40" s="453"/>
      <c r="W40" s="453"/>
      <c r="X40" s="453"/>
    </row>
    <row r="41" spans="1:25" x14ac:dyDescent="0.2">
      <c r="A41" s="453"/>
      <c r="B41" s="453" t="s">
        <v>559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  <c r="Q41" s="453"/>
      <c r="R41" s="453"/>
      <c r="S41" s="453"/>
      <c r="T41" s="453"/>
      <c r="U41" s="453"/>
      <c r="V41" s="453"/>
      <c r="W41" s="453"/>
      <c r="X41" s="453"/>
    </row>
    <row r="42" spans="1:25" x14ac:dyDescent="0.2">
      <c r="A42" s="453"/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</row>
    <row r="43" spans="1:25" x14ac:dyDescent="0.2">
      <c r="A43" s="453"/>
      <c r="B43" s="453" t="s">
        <v>562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</row>
    <row r="44" spans="1:25" x14ac:dyDescent="0.2">
      <c r="A44" s="453"/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  <c r="V44" s="453"/>
      <c r="W44" s="453"/>
      <c r="X44" s="453"/>
    </row>
    <row r="45" spans="1:25" x14ac:dyDescent="0.2">
      <c r="A45" s="453"/>
      <c r="B45" s="453" t="s">
        <v>560</v>
      </c>
      <c r="C45" s="453"/>
      <c r="D45" s="453"/>
      <c r="E45" s="453"/>
      <c r="F45" s="453"/>
      <c r="G45" s="453"/>
      <c r="H45" s="453"/>
      <c r="I45" s="453"/>
      <c r="J45" s="453"/>
      <c r="K45" s="453"/>
      <c r="L45" s="453"/>
      <c r="M45" s="453"/>
      <c r="N45" s="453"/>
      <c r="O45" s="453"/>
      <c r="P45" s="453"/>
      <c r="Q45" s="453"/>
      <c r="R45" s="453"/>
      <c r="S45" s="453"/>
      <c r="T45" s="453"/>
      <c r="U45" s="453"/>
      <c r="V45" s="453"/>
      <c r="W45" s="453"/>
      <c r="X45" s="453"/>
    </row>
    <row r="46" spans="1:25" x14ac:dyDescent="0.2">
      <c r="A46" s="453"/>
      <c r="B46" s="453" t="s">
        <v>561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</row>
    <row r="47" spans="1:25" x14ac:dyDescent="0.2">
      <c r="A47" s="453"/>
      <c r="B47" s="453" t="s">
        <v>563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  <c r="O47" s="453"/>
      <c r="P47" s="453"/>
      <c r="Q47" s="453"/>
      <c r="R47" s="453"/>
      <c r="S47" s="453"/>
      <c r="T47" s="453"/>
      <c r="U47" s="453"/>
      <c r="V47" s="453"/>
      <c r="W47" s="453"/>
      <c r="X47" s="453"/>
    </row>
    <row r="48" spans="1:25" x14ac:dyDescent="0.2">
      <c r="A48" s="453"/>
      <c r="B48" s="453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3"/>
      <c r="Q48" s="453"/>
      <c r="R48" s="453"/>
      <c r="S48" s="453"/>
      <c r="T48" s="453"/>
      <c r="U48" s="453"/>
      <c r="V48" s="453"/>
      <c r="W48" s="453"/>
      <c r="X48" s="453"/>
    </row>
    <row r="49" spans="1:6" ht="15" x14ac:dyDescent="0.2">
      <c r="A49" s="446"/>
      <c r="B49" s="447"/>
      <c r="C49" s="448"/>
      <c r="D49" s="449"/>
      <c r="E49" s="421"/>
      <c r="F49" s="421"/>
    </row>
    <row r="50" spans="1:6" ht="15" x14ac:dyDescent="0.2">
      <c r="A50" s="450" t="s">
        <v>540</v>
      </c>
      <c r="B50" s="447"/>
      <c r="C50" s="874" t="s">
        <v>574</v>
      </c>
      <c r="D50" s="875"/>
      <c r="E50" s="421"/>
      <c r="F50" s="421"/>
    </row>
    <row r="51" spans="1:6" x14ac:dyDescent="0.2">
      <c r="A51" s="451"/>
      <c r="B51" s="452"/>
      <c r="C51" s="876"/>
      <c r="D51" s="877"/>
      <c r="E51" s="90"/>
      <c r="F51" s="90"/>
    </row>
    <row r="52" spans="1:6" x14ac:dyDescent="0.2">
      <c r="A52" s="451"/>
      <c r="B52" s="451"/>
      <c r="C52" s="451"/>
      <c r="D52" s="451"/>
      <c r="E52" s="90"/>
      <c r="F52" s="90"/>
    </row>
    <row r="53" spans="1:6" x14ac:dyDescent="0.2">
      <c r="A53" s="453"/>
      <c r="B53" s="453"/>
      <c r="C53" s="453"/>
      <c r="D53" s="453"/>
    </row>
  </sheetData>
  <sheetProtection formatCells="0" formatColumns="0" formatRows="0" insertColumns="0" insertRows="0" insertHyperlinks="0" deleteColumns="0" deleteRows="0" sort="0" autoFilter="0" pivotTables="0"/>
  <mergeCells count="37">
    <mergeCell ref="A28:X28"/>
    <mergeCell ref="A1:Y3"/>
    <mergeCell ref="C50:D51"/>
    <mergeCell ref="Y4:Y6"/>
    <mergeCell ref="Y7:Y8"/>
    <mergeCell ref="Y9:Y10"/>
    <mergeCell ref="Y11:Y12"/>
    <mergeCell ref="Y15:Y16"/>
    <mergeCell ref="Y17:Y18"/>
    <mergeCell ref="Y19:Y20"/>
    <mergeCell ref="Y21:Y22"/>
    <mergeCell ref="A25:X25"/>
    <mergeCell ref="A19:X19"/>
    <mergeCell ref="A20:X20"/>
    <mergeCell ref="A23:X23"/>
    <mergeCell ref="A24:X24"/>
    <mergeCell ref="A26:X26"/>
    <mergeCell ref="A27:X27"/>
    <mergeCell ref="Y23:Y24"/>
    <mergeCell ref="A9:X9"/>
    <mergeCell ref="A10:X10"/>
    <mergeCell ref="A11:X11"/>
    <mergeCell ref="A21:X21"/>
    <mergeCell ref="A22:X22"/>
    <mergeCell ref="A15:X15"/>
    <mergeCell ref="A16:X16"/>
    <mergeCell ref="A17:X17"/>
    <mergeCell ref="A18:X18"/>
    <mergeCell ref="A12:X12"/>
    <mergeCell ref="A13:X13"/>
    <mergeCell ref="A14:X14"/>
    <mergeCell ref="Y13:Y14"/>
    <mergeCell ref="A4:X4"/>
    <mergeCell ref="A5:X5"/>
    <mergeCell ref="A6:X6"/>
    <mergeCell ref="A7:X7"/>
    <mergeCell ref="A8:X8"/>
  </mergeCells>
  <hyperlinks>
    <hyperlink ref="A4" location="'HF '!A1" display="AVENTOS HF" xr:uid="{00000000-0004-0000-0000-000000000000}"/>
    <hyperlink ref="A25:X25" location="'TANDEMBOX Intivo'!A1" display="'TANDEMBOX Intivo'!A1" xr:uid="{00000000-0004-0000-0000-000002000000}"/>
    <hyperlink ref="A22:X22" location="'TIP-ON BUMOTION MOVENTO СХЕМА'!A1" display="TIP-ON BUMOTION для MOVENTO - /схема монтажа/" xr:uid="{00000000-0004-0000-0000-000003000000}"/>
    <hyperlink ref="A21:X21" location="'TIP-ON BUMOTION MOVENTO'!A1" display="'TIP-ON BUMOTION MOVENTO'!A1" xr:uid="{00000000-0004-0000-0000-000004000000}"/>
    <hyperlink ref="A20:X20" location="'TIP-ON BLUMOTION LEGRABOX СХЕМА'!A1" display="TIP-ON BLUMOTION для LEGRABOX - /схема/" xr:uid="{00000000-0004-0000-0000-000005000000}"/>
    <hyperlink ref="A19:X19" location="'TIP-ON BLUMOTION LEGRABOX'!A1" display="   14)   TIP-ON BLUMOTION для LEGRABOX" xr:uid="{00000000-0004-0000-0000-000006000000}"/>
    <hyperlink ref="A15:X15" location="'HK-S'!A1" display="     10)   AVENTOS HK-S" xr:uid="{00000000-0004-0000-0000-000007000000}"/>
    <hyperlink ref="A12:X12" location="'Схема AVENTOS HK'!A1" display="     9)   AVENTOS HK - /схема монтажа/" xr:uid="{00000000-0004-0000-0000-000008000000}"/>
    <hyperlink ref="A11:X11" location="HK!A1" display="     8)   AVENTOS HK" xr:uid="{00000000-0004-0000-0000-000009000000}"/>
    <hyperlink ref="A8:X8" location="'Схема AVENTOS HS '!A1" display="'Схема AVENTOS HS '!A1" xr:uid="{00000000-0004-0000-0000-00000A000000}"/>
    <hyperlink ref="A7:X7" location="HS!A1" display="     3)   AVENTOS HF - /схема монтажа/" xr:uid="{00000000-0004-0000-0000-00000B000000}"/>
    <hyperlink ref="A6:X6" location="'Схема AVENTOS HF'!A1" display="AVENTOS HF - /схема монтажа/" xr:uid="{00000000-0004-0000-0000-00000C000000}"/>
    <hyperlink ref="A5" location="'HF разные фасады'!A1" display="AVENTOS HF/ разные фасады/" xr:uid="{00000000-0004-0000-0000-00000D000000}"/>
    <hyperlink ref="Y4" r:id="rId1" display="дополнительная информация" xr:uid="{00000000-0004-0000-0000-00000E000000}"/>
    <hyperlink ref="Y7:Y8" r:id="rId2" display="дополнительная информация об изделии в интернете" xr:uid="{00000000-0004-0000-0000-00000F000000}"/>
    <hyperlink ref="Y9:Y10" r:id="rId3" display="дополнительная информация об изделии в интернете" xr:uid="{00000000-0004-0000-0000-000010000000}"/>
    <hyperlink ref="Y11:Y12" r:id="rId4" display="дополнительная информация об изделии в интернете" xr:uid="{00000000-0004-0000-0000-000011000000}"/>
    <hyperlink ref="Y15:Y16" r:id="rId5" display="дополнительная информация об изделии в интернете" xr:uid="{00000000-0004-0000-0000-000012000000}"/>
    <hyperlink ref="Y17:Y18" r:id="rId6" display="дополнительная информация об изделии в интернете" xr:uid="{00000000-0004-0000-0000-000013000000}"/>
    <hyperlink ref="Y19:Y20" r:id="rId7" location="zoom=z" display="дополнительная информация об изделии в интернете" xr:uid="{00000000-0004-0000-0000-000014000000}"/>
    <hyperlink ref="Y21:Y22" r:id="rId8" location="zoom=z" display="дополнительная информация об изделии в интернете" xr:uid="{00000000-0004-0000-0000-000015000000}"/>
    <hyperlink ref="Y25" r:id="rId9" location="zoom=z" xr:uid="{00000000-0004-0000-0000-000016000000}"/>
    <hyperlink ref="A10:X10" location="'Схема AVENTOS HL'!R1C1" display="     7)   AVENTOS HL - /схема монтажа/" xr:uid="{00000000-0004-0000-0000-000019000000}"/>
    <hyperlink ref="A9:X9" location="HL!R1C1" display="     6)   AVENTOS HL" xr:uid="{00000000-0004-0000-0000-00001A000000}"/>
    <hyperlink ref="A17:X17" location="'HK-XS'!R1C1" display="   12)   AVENTOS HK-XS" xr:uid="{00000000-0004-0000-0000-00001B000000}"/>
    <hyperlink ref="A16:X16" location="'Cхема AVENTOS HK-S'!R1C1" display="   11)   AVENTOS HK-S - /схема монтажа/" xr:uid="{00000000-0004-0000-0000-00001C000000}"/>
    <hyperlink ref="A18:X18" location="'Cхема AVENTOS HK-XS'!R1C1" display="   13)   AVENTOS HK-XS - /схема монтажа/" xr:uid="{00000000-0004-0000-0000-00001D000000}"/>
    <hyperlink ref="A23:X23" location="'TIP-ON BLUMOTION TANDEMBOX'!A1" display="   18) TIP-ON BLUMOTION для TANDEMBOX" xr:uid="{00000000-0004-0000-0000-00001F000000}"/>
    <hyperlink ref="Y23:Y24" r:id="rId10" location="zoom=z" display="дополнительная информация об изделии в интернете" xr:uid="{00000000-0004-0000-0000-000020000000}"/>
    <hyperlink ref="A24:X24" location="'TIP-ON BUMOTION TANDEMBOX СХЕMA'!A1" display="   19) TIP-ON BLUMOTION для TANDEMBOX - /схема монтажа/" xr:uid="{00000000-0004-0000-0000-000021000000}"/>
    <hyperlink ref="C50" r:id="rId11" display="написать" xr:uid="{00000000-0004-0000-0000-000022000000}"/>
    <hyperlink ref="C50:D51" r:id="rId12" display="написать письмо" xr:uid="{00000000-0004-0000-0000-000023000000}"/>
    <hyperlink ref="A26:X26" location="'Раскрой дна и з.с для TANDEMBOX'!A1" display="   23) Рассчёт дна и задней стенки TANDEMBOX" xr:uid="{00000000-0004-0000-0000-000025000000}"/>
    <hyperlink ref="A27:X27" location="'Раскрой дна и з.с. для LEGRABOX'!A1" display="   23)   Рассчёт дна и задней стенки LEGRABOX" xr:uid="{00000000-0004-0000-0000-000026000000}"/>
    <hyperlink ref="Y27" r:id="rId13" location="zoom=z" xr:uid="{00000000-0004-0000-0000-000027000000}"/>
    <hyperlink ref="A4:X4" location="HF!A1" display="     1)   AVENTOS HF" xr:uid="{9908B2DC-25B3-4672-9415-43CD4D54DC2C}"/>
    <hyperlink ref="A13:X13" location="'HK top'!A1" display="   10)  AVENTOS HK top" xr:uid="{5D635749-C4D6-48E4-BCDB-E330C876BBD4}"/>
    <hyperlink ref="A14:X14" location="'Схема AVENTOS HK top'!A1" display="   11)  AVENTOS HK top - /схема монтажа/" xr:uid="{0C9B2B2F-7A66-414E-AD68-E95333792A03}"/>
    <hyperlink ref="Y13:Y14" location="'Схема AVENTOS HK top'!A1" display="дополнительная информация об изделии в интернете" xr:uid="{D33ED704-C03F-4790-8B2A-932D67B9FC3F}"/>
    <hyperlink ref="Y26" r:id="rId14" location="zoom=z" xr:uid="{5E2EB1E0-7F4E-46BB-902A-E87EECDDD611}"/>
    <hyperlink ref="A28:X28" location="'Раскрой валов синхронизации'!A1" display="   25)   Раскрой валов синхронизации TIP-ON BLUMOTION и TIP-ON" xr:uid="{BCAD3414-4F42-4C2B-BE5A-180C5BE3783C}"/>
    <hyperlink ref="Y28" r:id="rId15" location="zoom=z" xr:uid="{1028849A-0129-4DEF-9E79-C8422343E415}"/>
  </hyperlinks>
  <pageMargins left="0.70866141732283472" right="0.70866141732283472" top="0.74803149606299213" bottom="0.74803149606299213" header="0.31496062992125984" footer="0.31496062992125984"/>
  <pageSetup paperSize="9" scale="39" orientation="portrait" verticalDpi="0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B1:B64"/>
  <sheetViews>
    <sheetView showGridLines="0" workbookViewId="0">
      <selection activeCell="F29" sqref="F29"/>
    </sheetView>
  </sheetViews>
  <sheetFormatPr defaultRowHeight="12.75" x14ac:dyDescent="0.2"/>
  <cols>
    <col min="1" max="1" width="106.7109375" customWidth="1"/>
    <col min="2" max="2" width="19.42578125" customWidth="1"/>
  </cols>
  <sheetData>
    <row r="1" spans="2:2" ht="42" customHeight="1" thickBot="1" x14ac:dyDescent="0.25">
      <c r="B1" s="435" t="s">
        <v>544</v>
      </c>
    </row>
    <row r="2" spans="2:2" ht="12.95" customHeight="1" x14ac:dyDescent="0.2"/>
    <row r="3" spans="2:2" ht="12.95" customHeight="1" x14ac:dyDescent="0.2"/>
    <row r="4" spans="2:2" ht="12.95" customHeight="1" x14ac:dyDescent="0.2"/>
    <row r="5" spans="2:2" ht="12.95" customHeight="1" x14ac:dyDescent="0.2"/>
    <row r="6" spans="2:2" ht="12.95" customHeight="1" x14ac:dyDescent="0.2"/>
    <row r="7" spans="2:2" ht="12.95" customHeight="1" x14ac:dyDescent="0.2"/>
    <row r="8" spans="2:2" ht="12.95" customHeight="1" x14ac:dyDescent="0.2"/>
    <row r="9" spans="2:2" ht="12.95" customHeight="1" x14ac:dyDescent="0.2"/>
    <row r="10" spans="2:2" ht="12.95" customHeight="1" x14ac:dyDescent="0.2"/>
    <row r="11" spans="2:2" ht="12.95" customHeight="1" x14ac:dyDescent="0.2"/>
    <row r="12" spans="2:2" ht="12.95" customHeight="1" x14ac:dyDescent="0.2"/>
    <row r="13" spans="2:2" ht="12.95" customHeight="1" x14ac:dyDescent="0.2"/>
    <row r="14" spans="2:2" ht="12.95" customHeight="1" x14ac:dyDescent="0.2"/>
    <row r="15" spans="2:2" ht="12.95" customHeight="1" x14ac:dyDescent="0.2"/>
    <row r="16" spans="2:2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2.95" customHeight="1" x14ac:dyDescent="0.2"/>
    <row r="27" ht="12.95" customHeight="1" x14ac:dyDescent="0.2"/>
    <row r="28" ht="12.95" customHeight="1" x14ac:dyDescent="0.2"/>
    <row r="29" ht="12.95" customHeight="1" x14ac:dyDescent="0.2"/>
    <row r="30" ht="12.95" customHeight="1" x14ac:dyDescent="0.2"/>
    <row r="31" ht="12.95" customHeight="1" x14ac:dyDescent="0.2"/>
    <row r="32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</sheetData>
  <sheetProtection algorithmName="SHA-512" hashValue="26KZEwmzixh5kLTqdsBXahQChB2aTpEVSujY9dUphqjPBhgfTwrqGpihObYVkfo8AB62ZmGItawMZFNupgPyzQ==" saltValue="oJjPoBd6nvkFcPGIcvjswQ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howGridLines="0" fitToPage="1" topLeftCell="A13">
      <selection activeCell="D17" sqref="D17"/>
      <pageMargins left="0.19685039370078741" right="0.19685039370078741" top="0.19685039370078741" bottom="0.19685039370078741" header="0.51181102362204722" footer="0.51181102362204722"/>
      <pageSetup paperSize="9" scale="95" orientation="portrait" r:id="rId1"/>
      <headerFooter alignWithMargins="0"/>
    </customSheetView>
  </customSheetViews>
  <phoneticPr fontId="14" type="noConversion"/>
  <hyperlinks>
    <hyperlink ref="B1" location="Содержание!R1C1" display="← СОДЕРЖАНИЕ:" xr:uid="{00000000-0004-0000-0900-000000000000}"/>
  </hyperlinks>
  <pageMargins left="0.19685039370078741" right="0.19685039370078741" top="0.19685039370078741" bottom="0.19685039370078741" header="0.51181102362204722" footer="0.51181102362204722"/>
  <pageSetup paperSize="9" scale="95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B544-388A-4292-8C7B-E57BBB072357}">
  <sheetPr codeName="Лист11">
    <tabColor indexed="44"/>
  </sheetPr>
  <dimension ref="A1:L38"/>
  <sheetViews>
    <sheetView showGridLines="0" zoomScale="115" zoomScaleNormal="115" workbookViewId="0">
      <selection activeCell="E11" sqref="E11"/>
    </sheetView>
  </sheetViews>
  <sheetFormatPr defaultRowHeight="12.75" x14ac:dyDescent="0.2"/>
  <cols>
    <col min="1" max="1" width="40" customWidth="1"/>
    <col min="2" max="2" width="10.7109375" customWidth="1"/>
    <col min="3" max="3" width="14.42578125" customWidth="1"/>
    <col min="4" max="4" width="12.7109375" customWidth="1"/>
    <col min="5" max="5" width="11.140625" customWidth="1"/>
    <col min="6" max="6" width="17.5703125" customWidth="1"/>
    <col min="7" max="7" width="15.42578125" customWidth="1"/>
    <col min="8" max="8" width="32.28515625" customWidth="1"/>
    <col min="9" max="9" width="19.85546875" customWidth="1"/>
    <col min="10" max="10" width="12" customWidth="1"/>
    <col min="11" max="11" width="12.7109375" customWidth="1"/>
    <col min="12" max="12" width="14.28515625" customWidth="1"/>
    <col min="13" max="14" width="11.7109375" customWidth="1"/>
  </cols>
  <sheetData>
    <row r="1" spans="1:12" ht="47.25" customHeight="1" thickBot="1" x14ac:dyDescent="0.25">
      <c r="A1" s="1057"/>
      <c r="B1" s="1058"/>
      <c r="C1" s="1058"/>
      <c r="D1" s="1058"/>
      <c r="E1" s="1058"/>
      <c r="F1" s="1058"/>
      <c r="G1" s="1058"/>
      <c r="H1" s="1030"/>
      <c r="I1" s="717" t="s">
        <v>544</v>
      </c>
    </row>
    <row r="2" spans="1:12" ht="24.95" customHeight="1" thickBot="1" x14ac:dyDescent="0.25">
      <c r="A2" s="1090" t="s">
        <v>170</v>
      </c>
      <c r="B2" s="1049"/>
      <c r="C2" s="1067" t="s">
        <v>357</v>
      </c>
      <c r="D2" s="1068"/>
      <c r="E2" s="1069"/>
      <c r="F2" s="1080" t="s">
        <v>165</v>
      </c>
      <c r="G2" s="1081"/>
      <c r="H2" s="177"/>
    </row>
    <row r="3" spans="1:12" ht="18" customHeight="1" thickBot="1" x14ac:dyDescent="0.25">
      <c r="A3" s="1091"/>
      <c r="B3" s="1051"/>
      <c r="C3" s="1070"/>
      <c r="D3" s="1071"/>
      <c r="E3" s="1072"/>
      <c r="F3" s="404" t="s">
        <v>43</v>
      </c>
      <c r="G3" s="178" t="s">
        <v>44</v>
      </c>
      <c r="H3" s="177"/>
    </row>
    <row r="4" spans="1:12" ht="21" customHeight="1" x14ac:dyDescent="0.2">
      <c r="A4" s="179" t="s">
        <v>686</v>
      </c>
      <c r="B4" s="521"/>
      <c r="C4" s="1065" t="s">
        <v>606</v>
      </c>
      <c r="D4" s="1065"/>
      <c r="E4" s="1066"/>
      <c r="F4" s="180">
        <v>420</v>
      </c>
      <c r="G4" s="181">
        <v>1610</v>
      </c>
      <c r="H4" s="138"/>
    </row>
    <row r="5" spans="1:12" ht="21" customHeight="1" x14ac:dyDescent="0.2">
      <c r="A5" s="179" t="s">
        <v>687</v>
      </c>
      <c r="B5" s="522"/>
      <c r="C5" s="1065" t="s">
        <v>607</v>
      </c>
      <c r="D5" s="1065"/>
      <c r="E5" s="1066"/>
      <c r="F5" s="182">
        <v>930</v>
      </c>
      <c r="G5" s="183">
        <v>2800</v>
      </c>
      <c r="H5" s="177"/>
    </row>
    <row r="6" spans="1:12" ht="20.25" customHeight="1" x14ac:dyDescent="0.2">
      <c r="A6" s="179" t="s">
        <v>688</v>
      </c>
      <c r="B6" s="522"/>
      <c r="C6" s="1065" t="s">
        <v>608</v>
      </c>
      <c r="D6" s="1065"/>
      <c r="E6" s="1066"/>
      <c r="F6" s="182">
        <v>1730</v>
      </c>
      <c r="G6" s="183">
        <v>5200</v>
      </c>
      <c r="H6" s="177"/>
    </row>
    <row r="7" spans="1:12" ht="19.5" customHeight="1" thickBot="1" x14ac:dyDescent="0.25">
      <c r="A7" s="179" t="s">
        <v>689</v>
      </c>
      <c r="B7" s="524"/>
      <c r="C7" s="1065" t="s">
        <v>609</v>
      </c>
      <c r="D7" s="1065"/>
      <c r="E7" s="1066"/>
      <c r="F7" s="184">
        <v>3200</v>
      </c>
      <c r="G7" s="185">
        <v>9000</v>
      </c>
      <c r="H7" s="177"/>
    </row>
    <row r="8" spans="1:12" ht="21" customHeight="1" thickBot="1" x14ac:dyDescent="0.25">
      <c r="A8" s="1082" t="s">
        <v>384</v>
      </c>
      <c r="B8" s="1083"/>
      <c r="C8" s="1084"/>
      <c r="D8" s="1084"/>
      <c r="E8" s="1084"/>
      <c r="F8" s="1084"/>
      <c r="G8" s="1084"/>
      <c r="H8" s="1085"/>
    </row>
    <row r="9" spans="1:12" ht="42" customHeight="1" thickBot="1" x14ac:dyDescent="0.25">
      <c r="A9" s="523" t="s">
        <v>340</v>
      </c>
      <c r="B9" s="718" t="s">
        <v>585</v>
      </c>
      <c r="C9" s="158" t="s">
        <v>33</v>
      </c>
      <c r="D9" s="159" t="s">
        <v>32</v>
      </c>
      <c r="E9" s="405" t="s">
        <v>416</v>
      </c>
      <c r="F9" s="160" t="s">
        <v>40</v>
      </c>
      <c r="G9" s="176" t="s">
        <v>36</v>
      </c>
      <c r="H9" s="186" t="s">
        <v>351</v>
      </c>
    </row>
    <row r="10" spans="1:12" ht="42.75" customHeight="1" thickBot="1" x14ac:dyDescent="0.25">
      <c r="A10" s="187" t="s">
        <v>595</v>
      </c>
      <c r="B10" s="536">
        <v>18</v>
      </c>
      <c r="C10" s="423">
        <v>358</v>
      </c>
      <c r="D10" s="424">
        <v>798</v>
      </c>
      <c r="E10" s="425">
        <v>0</v>
      </c>
      <c r="F10" s="188">
        <f>(C10)/1000*(D10)/1000*B10*(680/1000)+(E10/1000*2)</f>
        <v>3.4967721599999999</v>
      </c>
      <c r="G10" s="189">
        <f t="shared" ref="G10:G15" si="0">F10*C10</f>
        <v>1251.84443328</v>
      </c>
      <c r="H10" s="190" t="str">
        <f>IF(C10&lt;208,"увеличьте высоту фасада (мин. 208 мм)",IF(C10&gt;600,"уменьшите высоту фасада (макс. 600 мм)",IF(G10&lt;420,"очень лёгкий фасад, используйте механизм AVENTOS HK-S или HK-XS",IF(G10&lt;1100,"2 силовых механизма AVENTOS HK top 23",IF(G10&lt;2400,"2 силовых механизма AVENTOS HK top 25",IF(G10&lt;5100,"2 силовых механизма AVENTOS HK top 27",IF(G10&lt;9000,"2 силовых механизма AVENTOS HK top 29",IF(G10&gt;9000,"очень тяжёлый фасад",))))))))</f>
        <v>2 силовых механизма AVENTOS HK top 25</v>
      </c>
      <c r="I10" s="19"/>
    </row>
    <row r="11" spans="1:12" ht="27.75" customHeight="1" thickBot="1" x14ac:dyDescent="0.25">
      <c r="A11" s="191" t="s">
        <v>593</v>
      </c>
      <c r="B11" s="525">
        <v>18</v>
      </c>
      <c r="C11" s="426">
        <v>480</v>
      </c>
      <c r="D11" s="427">
        <v>800</v>
      </c>
      <c r="E11" s="428">
        <v>0</v>
      </c>
      <c r="F11" s="707">
        <f>(C11)/1000*(D11)/1000*B11*(760/1000)+(E11/1000*2)</f>
        <v>5.25312</v>
      </c>
      <c r="G11" s="193">
        <f t="shared" si="0"/>
        <v>2521.4976000000001</v>
      </c>
      <c r="H11" s="406" t="str">
        <f t="shared" ref="H11:H15" si="1">IF(C11&lt;208,"увеличьте высоту фасада (мин. 208 мм)",IF(C11&gt;600,"уменьшите высоту фасада (макс. 600 мм)",IF(G11&lt;420,"очень лёгкий фасад, используйте механизм AVENTOS HK-S или HK-XS",IF(G11&lt;1100,"2 силовых механизма AVENTOS HK top 23",IF(G11&lt;2400,"2 силовых механизма AVENTOS HK top 25",IF(G11&lt;5100,"2 силовых механизма AVENTOS HK top 27",IF(G11&lt;9000,"2 силовых механизма AVENTOS HK top 29",IF(G11&gt;9000,"очень тяжёлый фасад",))))))))</f>
        <v>2 силовых механизма AVENTOS HK top 27</v>
      </c>
      <c r="I11" s="42"/>
      <c r="J11" s="42"/>
      <c r="K11" s="41"/>
      <c r="L11" s="41"/>
    </row>
    <row r="12" spans="1:12" ht="25.5" customHeight="1" thickBot="1" x14ac:dyDescent="0.25">
      <c r="A12" s="1056" t="s">
        <v>89</v>
      </c>
      <c r="B12" s="1054"/>
      <c r="C12" s="422">
        <v>600</v>
      </c>
      <c r="D12" s="429">
        <v>600</v>
      </c>
      <c r="E12" s="430">
        <v>0</v>
      </c>
      <c r="F12" s="194">
        <f>(C12)/1000*(D12)/1000*(11.5+0.3*2)+(E12/1000*2)</f>
        <v>4.3559999999999999</v>
      </c>
      <c r="G12" s="195">
        <f t="shared" si="0"/>
        <v>2613.6</v>
      </c>
      <c r="H12" s="190" t="str">
        <f t="shared" si="1"/>
        <v>2 силовых механизма AVENTOS HK top 27</v>
      </c>
      <c r="I12" s="42"/>
      <c r="J12" s="42"/>
      <c r="K12" s="41"/>
      <c r="L12" s="41"/>
    </row>
    <row r="13" spans="1:12" ht="28.5" customHeight="1" thickBot="1" x14ac:dyDescent="0.25">
      <c r="A13" s="1078" t="s">
        <v>90</v>
      </c>
      <c r="B13" s="1054"/>
      <c r="C13" s="426">
        <v>600</v>
      </c>
      <c r="D13" s="431">
        <v>762</v>
      </c>
      <c r="E13" s="432">
        <v>0</v>
      </c>
      <c r="F13" s="192">
        <f>(C13)/1000*(D13)/1000*(11.5+0.3*2)+(E13/1000*2)</f>
        <v>5.5321199999999999</v>
      </c>
      <c r="G13" s="193">
        <f t="shared" si="0"/>
        <v>3319.2719999999999</v>
      </c>
      <c r="H13" s="406" t="str">
        <f t="shared" si="1"/>
        <v>2 силовых механизма AVENTOS HK top 27</v>
      </c>
    </row>
    <row r="14" spans="1:12" ht="27" customHeight="1" thickBot="1" x14ac:dyDescent="0.25">
      <c r="A14" s="1056" t="s">
        <v>404</v>
      </c>
      <c r="B14" s="1054"/>
      <c r="C14" s="422">
        <v>600</v>
      </c>
      <c r="D14" s="429">
        <v>500</v>
      </c>
      <c r="E14" s="430">
        <v>0</v>
      </c>
      <c r="F14" s="194">
        <f>(C14)/1000*(D14)/1000*(8.8+0.3*2)+(E14/1000*2)</f>
        <v>2.82</v>
      </c>
      <c r="G14" s="196">
        <f t="shared" si="0"/>
        <v>1692</v>
      </c>
      <c r="H14" s="190" t="str">
        <f t="shared" si="1"/>
        <v>2 силовых механизма AVENTOS HK top 25</v>
      </c>
    </row>
    <row r="15" spans="1:12" ht="29.25" customHeight="1" thickBot="1" x14ac:dyDescent="0.25">
      <c r="A15" s="1079" t="s">
        <v>538</v>
      </c>
      <c r="B15" s="1034"/>
      <c r="C15" s="426">
        <v>600</v>
      </c>
      <c r="D15" s="525">
        <v>600</v>
      </c>
      <c r="E15" s="525">
        <v>0</v>
      </c>
      <c r="F15" s="192">
        <f>(C15)/1000*(D15)/1000*4*(2500/1000)+(C15)/1000*(D15)/1000*16*(680/1000)+(E15/1000*2)</f>
        <v>7.5167999999999999</v>
      </c>
      <c r="G15" s="407">
        <f t="shared" si="0"/>
        <v>4510.08</v>
      </c>
      <c r="H15" s="406" t="str">
        <f t="shared" si="1"/>
        <v>2 силовых механизма AVENTOS HK top 27</v>
      </c>
    </row>
    <row r="16" spans="1:12" ht="20.25" customHeight="1" x14ac:dyDescent="0.2">
      <c r="A16" s="409" t="s">
        <v>444</v>
      </c>
      <c r="B16" s="409"/>
    </row>
    <row r="34" ht="10.5" customHeight="1" x14ac:dyDescent="0.2"/>
    <row r="35" hidden="1" x14ac:dyDescent="0.2"/>
    <row r="36" hidden="1" x14ac:dyDescent="0.2"/>
    <row r="37" hidden="1" x14ac:dyDescent="0.2"/>
    <row r="38" hidden="1" x14ac:dyDescent="0.2"/>
  </sheetData>
  <sheetProtection algorithmName="SHA-512" hashValue="6wBtAjTOd0bV4+WOcSbsEkULg39dDfz5nmRG58itmBGbgrAGCdfqX9p6tKE08hqG0ooctAeS/IwPOP5YxKs7aw==" saltValue="0GqBHsSI7rAM+xiW4vUnng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mergeCells count="13">
    <mergeCell ref="C5:E5"/>
    <mergeCell ref="A1:H1"/>
    <mergeCell ref="A2:B3"/>
    <mergeCell ref="C2:E3"/>
    <mergeCell ref="F2:G2"/>
    <mergeCell ref="C4:E4"/>
    <mergeCell ref="A15:B15"/>
    <mergeCell ref="C6:E6"/>
    <mergeCell ref="C7:E7"/>
    <mergeCell ref="A8:H8"/>
    <mergeCell ref="A12:B12"/>
    <mergeCell ref="A13:B13"/>
    <mergeCell ref="A14:B14"/>
  </mergeCells>
  <conditionalFormatting sqref="H10:H15">
    <cfRule type="containsText" dxfId="110" priority="7" stopIfTrue="1" operator="containsText" text="очень">
      <formula>NOT(ISERROR(SEARCH("очень",H10)))</formula>
    </cfRule>
  </conditionalFormatting>
  <conditionalFormatting sqref="H10:H15">
    <cfRule type="containsText" dxfId="109" priority="5" operator="containsText" text="уменьшите высоту фасада">
      <formula>NOT(ISERROR(SEARCH("уменьшите высоту фасада",H10)))</formula>
    </cfRule>
    <cfRule type="containsText" dxfId="108" priority="6" operator="containsText" text="увеличьте высоту фасада">
      <formula>NOT(ISERROR(SEARCH("увеличьте высоту фасада",H10)))</formula>
    </cfRule>
  </conditionalFormatting>
  <conditionalFormatting sqref="H11:H15">
    <cfRule type="containsText" dxfId="107" priority="3" operator="containsText" text="уменьшите высоту фасада">
      <formula>NOT(ISERROR(SEARCH("уменьшите высоту фасада",H11)))</formula>
    </cfRule>
    <cfRule type="containsText" dxfId="106" priority="4" operator="containsText" text="увеличьте высоту фасада">
      <formula>NOT(ISERROR(SEARCH("увеличьте высоту фасада",H11)))</formula>
    </cfRule>
  </conditionalFormatting>
  <conditionalFormatting sqref="H11:H15">
    <cfRule type="containsText" dxfId="105" priority="1" operator="containsText" text="уменьшите высоту фасада">
      <formula>NOT(ISERROR(SEARCH("уменьшите высоту фасада",H11)))</formula>
    </cfRule>
    <cfRule type="containsText" dxfId="104" priority="2" operator="containsText" text="увеличьте высоту фасада">
      <formula>NOT(ISERROR(SEARCH("увеличьте высоту фасада",H11)))</formula>
    </cfRule>
  </conditionalFormatting>
  <hyperlinks>
    <hyperlink ref="I1" location="Содержание!R1C1" display="← СОДЕРЖАНИЕ:" xr:uid="{33957D7C-1E9E-4039-BAD8-4FB473B57257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7859-C39F-400F-A7DB-D82EB3FCDE17}">
  <sheetPr codeName="Лист12">
    <pageSetUpPr fitToPage="1"/>
  </sheetPr>
  <dimension ref="I1:I64"/>
  <sheetViews>
    <sheetView showGridLines="0" topLeftCell="A10" zoomScale="90" zoomScaleNormal="90" workbookViewId="0"/>
  </sheetViews>
  <sheetFormatPr defaultRowHeight="12.75" x14ac:dyDescent="0.2"/>
  <cols>
    <col min="1" max="1" width="97.7109375" customWidth="1"/>
    <col min="2" max="2" width="19.42578125" customWidth="1"/>
    <col min="7" max="8" width="9.140625" customWidth="1"/>
    <col min="9" max="9" width="18.5703125" customWidth="1"/>
  </cols>
  <sheetData>
    <row r="1" spans="9:9" ht="42" customHeight="1" thickBot="1" x14ac:dyDescent="0.25">
      <c r="I1" s="435" t="s">
        <v>544</v>
      </c>
    </row>
    <row r="2" spans="9:9" ht="12.95" customHeight="1" x14ac:dyDescent="0.2"/>
    <row r="3" spans="9:9" ht="12.95" customHeight="1" x14ac:dyDescent="0.2"/>
    <row r="4" spans="9:9" ht="12.95" customHeight="1" x14ac:dyDescent="0.2"/>
    <row r="5" spans="9:9" ht="12.95" customHeight="1" x14ac:dyDescent="0.2"/>
    <row r="6" spans="9:9" ht="12.95" customHeight="1" x14ac:dyDescent="0.2"/>
    <row r="7" spans="9:9" ht="12.95" customHeight="1" x14ac:dyDescent="0.2"/>
    <row r="8" spans="9:9" ht="12.95" customHeight="1" x14ac:dyDescent="0.2"/>
    <row r="9" spans="9:9" ht="12.95" customHeight="1" x14ac:dyDescent="0.2"/>
    <row r="10" spans="9:9" ht="12.95" customHeight="1" x14ac:dyDescent="0.2"/>
    <row r="11" spans="9:9" ht="12.95" customHeight="1" x14ac:dyDescent="0.2"/>
    <row r="12" spans="9:9" ht="12.95" customHeight="1" x14ac:dyDescent="0.2"/>
    <row r="13" spans="9:9" ht="12.95" customHeight="1" x14ac:dyDescent="0.2"/>
    <row r="14" spans="9:9" ht="12.95" customHeight="1" x14ac:dyDescent="0.2"/>
    <row r="15" spans="9:9" ht="12.95" customHeight="1" x14ac:dyDescent="0.2"/>
    <row r="16" spans="9:9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2.95" customHeight="1" x14ac:dyDescent="0.2"/>
    <row r="27" ht="12.95" customHeight="1" x14ac:dyDescent="0.2"/>
    <row r="28" ht="12.95" customHeight="1" x14ac:dyDescent="0.2"/>
    <row r="29" ht="12.95" customHeight="1" x14ac:dyDescent="0.2"/>
    <row r="30" ht="12.95" customHeight="1" x14ac:dyDescent="0.2"/>
    <row r="31" ht="12.95" customHeight="1" x14ac:dyDescent="0.2"/>
    <row r="32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</sheetData>
  <sheetProtection password="CF68" sheet="1" formatCells="0" formatColumns="0" formatRows="0" insertColumns="0" insertRows="0" insertHyperlinks="0" deleteColumns="0" deleteRows="0" sort="0" autoFilter="0" pivotTables="0"/>
  <hyperlinks>
    <hyperlink ref="I1" location="Содержание!R1C1" display="← СОДЕРЖАНИЕ:" xr:uid="{15FE9FEB-6448-4863-80BA-B04B87CC294F}"/>
  </hyperlinks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1">
    <tabColor indexed="47"/>
  </sheetPr>
  <dimension ref="A1:Q26"/>
  <sheetViews>
    <sheetView showGridLines="0" zoomScaleNormal="100" workbookViewId="0">
      <selection activeCell="E11" sqref="E11"/>
    </sheetView>
  </sheetViews>
  <sheetFormatPr defaultRowHeight="12.75" x14ac:dyDescent="0.2"/>
  <cols>
    <col min="1" max="1" width="43" customWidth="1"/>
    <col min="2" max="2" width="12" customWidth="1"/>
    <col min="3" max="3" width="15.7109375" customWidth="1"/>
    <col min="4" max="4" width="15" customWidth="1"/>
    <col min="5" max="5" width="12" customWidth="1"/>
    <col min="6" max="6" width="13.42578125" customWidth="1"/>
    <col min="7" max="7" width="13.140625" customWidth="1"/>
    <col min="8" max="8" width="17.7109375" customWidth="1"/>
    <col min="9" max="9" width="36.42578125" customWidth="1"/>
    <col min="10" max="10" width="19.5703125" customWidth="1"/>
    <col min="11" max="11" width="8.85546875" customWidth="1"/>
    <col min="12" max="12" width="8.28515625" customWidth="1"/>
    <col min="13" max="13" width="12.7109375" customWidth="1"/>
    <col min="14" max="14" width="12.28515625" customWidth="1"/>
    <col min="17" max="17" width="13.42578125" customWidth="1"/>
  </cols>
  <sheetData>
    <row r="1" spans="1:17" ht="49.5" customHeight="1" thickBot="1" x14ac:dyDescent="0.25">
      <c r="A1" s="1111"/>
      <c r="B1" s="1112"/>
      <c r="C1" s="1112"/>
      <c r="D1" s="1112"/>
      <c r="E1" s="1112"/>
      <c r="F1" s="1112"/>
      <c r="G1" s="1112"/>
      <c r="H1" s="1113"/>
      <c r="I1" s="1114"/>
      <c r="J1" s="435" t="s">
        <v>544</v>
      </c>
    </row>
    <row r="2" spans="1:17" ht="33.75" customHeight="1" thickBot="1" x14ac:dyDescent="0.25">
      <c r="A2" s="1103" t="s">
        <v>170</v>
      </c>
      <c r="B2" s="1104"/>
      <c r="C2" s="1094" t="s">
        <v>356</v>
      </c>
      <c r="D2" s="1094"/>
      <c r="E2" s="1095"/>
      <c r="F2" s="1080" t="s">
        <v>165</v>
      </c>
      <c r="G2" s="1122"/>
      <c r="H2" s="363" t="s">
        <v>328</v>
      </c>
      <c r="I2" s="413"/>
    </row>
    <row r="3" spans="1:17" ht="15.75" customHeight="1" thickBot="1" x14ac:dyDescent="0.25">
      <c r="A3" s="1105"/>
      <c r="B3" s="1106"/>
      <c r="C3" s="1096"/>
      <c r="D3" s="1096"/>
      <c r="E3" s="1097"/>
      <c r="F3" s="493" t="s">
        <v>43</v>
      </c>
      <c r="G3" s="495" t="s">
        <v>44</v>
      </c>
      <c r="H3" s="494" t="s">
        <v>329</v>
      </c>
      <c r="I3" s="413"/>
    </row>
    <row r="4" spans="1:17" ht="26.25" hidden="1" customHeight="1" x14ac:dyDescent="0.2">
      <c r="A4" s="537" t="s">
        <v>335</v>
      </c>
      <c r="B4" s="414"/>
      <c r="C4" s="1123" t="s">
        <v>330</v>
      </c>
      <c r="D4" s="1123"/>
      <c r="E4" s="538"/>
      <c r="F4" s="410">
        <v>220</v>
      </c>
      <c r="G4" s="411">
        <v>500</v>
      </c>
      <c r="H4" s="412" t="s">
        <v>331</v>
      </c>
      <c r="I4" s="413"/>
    </row>
    <row r="5" spans="1:17" ht="30" customHeight="1" x14ac:dyDescent="0.2">
      <c r="A5" s="1107" t="s">
        <v>690</v>
      </c>
      <c r="B5" s="1108"/>
      <c r="C5" s="1098" t="s">
        <v>354</v>
      </c>
      <c r="D5" s="1098"/>
      <c r="E5" s="1099"/>
      <c r="F5" s="169">
        <v>400</v>
      </c>
      <c r="G5" s="170">
        <v>1000</v>
      </c>
      <c r="H5" s="171" t="s">
        <v>332</v>
      </c>
      <c r="I5" s="413"/>
    </row>
    <row r="6" spans="1:17" ht="37.5" customHeight="1" x14ac:dyDescent="0.2">
      <c r="A6" s="1107" t="s">
        <v>691</v>
      </c>
      <c r="B6" s="1108"/>
      <c r="C6" s="1098" t="s">
        <v>539</v>
      </c>
      <c r="D6" s="1098"/>
      <c r="E6" s="1099"/>
      <c r="F6" s="169">
        <v>680</v>
      </c>
      <c r="G6" s="170">
        <v>1520</v>
      </c>
      <c r="H6" s="171" t="s">
        <v>333</v>
      </c>
      <c r="I6" s="413"/>
    </row>
    <row r="7" spans="1:17" ht="29.25" customHeight="1" thickBot="1" x14ac:dyDescent="0.25">
      <c r="A7" s="1109" t="s">
        <v>692</v>
      </c>
      <c r="B7" s="1110"/>
      <c r="C7" s="1100" t="s">
        <v>355</v>
      </c>
      <c r="D7" s="1100"/>
      <c r="E7" s="1097"/>
      <c r="F7" s="172">
        <v>960</v>
      </c>
      <c r="G7" s="173">
        <v>2215</v>
      </c>
      <c r="H7" s="174" t="s">
        <v>334</v>
      </c>
      <c r="I7" s="413"/>
    </row>
    <row r="8" spans="1:17" ht="20.25" customHeight="1" thickBot="1" x14ac:dyDescent="0.25">
      <c r="A8" s="1124" t="s">
        <v>402</v>
      </c>
      <c r="B8" s="1125"/>
      <c r="C8" s="1126"/>
      <c r="D8" s="1126"/>
      <c r="E8" s="1126"/>
      <c r="F8" s="1126"/>
      <c r="G8" s="1126"/>
      <c r="H8" s="1126"/>
      <c r="I8" s="1127"/>
    </row>
    <row r="9" spans="1:17" ht="47.25" customHeight="1" thickBot="1" x14ac:dyDescent="0.25">
      <c r="A9" s="523" t="s">
        <v>340</v>
      </c>
      <c r="B9" s="518" t="s">
        <v>585</v>
      </c>
      <c r="C9" s="539" t="s">
        <v>33</v>
      </c>
      <c r="D9" s="539" t="s">
        <v>32</v>
      </c>
      <c r="E9" s="540" t="s">
        <v>416</v>
      </c>
      <c r="F9" s="541" t="s">
        <v>40</v>
      </c>
      <c r="G9" s="709" t="s">
        <v>36</v>
      </c>
      <c r="H9" s="1120" t="s">
        <v>353</v>
      </c>
      <c r="I9" s="1121"/>
      <c r="J9" s="92"/>
      <c r="K9" s="41"/>
      <c r="L9" s="41"/>
      <c r="M9" s="41"/>
      <c r="N9" s="41"/>
    </row>
    <row r="10" spans="1:17" ht="36" customHeight="1" thickBot="1" x14ac:dyDescent="0.25">
      <c r="A10" s="187" t="s">
        <v>595</v>
      </c>
      <c r="B10" s="556">
        <v>16</v>
      </c>
      <c r="C10" s="542">
        <v>200</v>
      </c>
      <c r="D10" s="543">
        <v>600</v>
      </c>
      <c r="E10" s="544">
        <v>0</v>
      </c>
      <c r="F10" s="545">
        <f>(C10)/1000*(D10)/1000*B10*(680/1000)+(E10/1000*2)</f>
        <v>1.3056000000000001</v>
      </c>
      <c r="G10" s="708">
        <f t="shared" ref="G10:G15" si="0">F10*C10</f>
        <v>261.12</v>
      </c>
      <c r="H10" s="1132" t="str">
        <f>IF(C10&lt;150,"Увеличьте высоту фасада (мин. 150 мм)",IF(C10&gt;600,"Уменьшите высоту фасада (макс. 600 мм)",IF(G10&lt;400,"Очень лёгкий фасад, используйте комбинацию механизмов AVENTOS HK-S 20K2A01+20K2C01 или AVENTOS HK-XS",IF(G10&lt;850,"2 силовых механизма AVENTOS HK-S тип C",IF(G10&lt;1000,"2 силовых механизма AVENTOS HK-S, тип С + тип Е",IF(G10&lt;2005,"2 силовых механизма AVENTOS HK-S тип Е",IF(G10&gt;2005,"Очень тяжёлый фасад, используйте механизм AVENTOS HK",)))))))</f>
        <v>Очень лёгкий фасад, используйте комбинацию механизмов AVENTOS HK-S 20K2A01+20K2C01 или AVENTOS HK-XS</v>
      </c>
      <c r="I10" s="1133"/>
      <c r="J10" s="92"/>
      <c r="K10" s="41"/>
      <c r="L10" s="41"/>
      <c r="M10" s="41"/>
      <c r="N10" s="41"/>
    </row>
    <row r="11" spans="1:17" ht="33.75" customHeight="1" thickBot="1" x14ac:dyDescent="0.25">
      <c r="A11" s="711" t="s">
        <v>593</v>
      </c>
      <c r="B11" s="557">
        <v>18</v>
      </c>
      <c r="C11" s="547">
        <v>480</v>
      </c>
      <c r="D11" s="548">
        <v>800</v>
      </c>
      <c r="E11" s="549">
        <v>0</v>
      </c>
      <c r="F11" s="710">
        <f>(C11)/1000*(D11)/1000*B11*(760/1000)+(E11/1000*2)</f>
        <v>5.25312</v>
      </c>
      <c r="G11" s="550">
        <f t="shared" si="0"/>
        <v>2521.4976000000001</v>
      </c>
      <c r="H11" s="1134" t="str">
        <f>IF(C11&lt;150,"Увеличьте высоту фасада (мин. 150 мм)",IF(C11&gt;600,"Уменьшите высоту фасада (макс. 600 мм)",IF(G11&lt;400,"Очень лёгкий фасад, используйте комбинацию механизмов AVENTOS HK-S 20K2A01+20K2C01 или AVENTOS HK-XS",IF(G11&lt;850,"2 силовых механизма AVENTOS HK-S тип C",IF(G11&lt;1000,"2 силовых механизма AVENTOS HK-S, тип С + тип Е",IF(G11&lt;2005,"2 силовых механизма AVENTOS HK-S тип Е",IF(G11&gt;2005,"Очень тяжёлый фасад, используйте механизм AVENTOS HK",)))))))</f>
        <v>Очень тяжёлый фасад, используйте механизм AVENTOS HK</v>
      </c>
      <c r="I11" s="1135"/>
      <c r="J11" s="94"/>
      <c r="K11" s="94"/>
      <c r="L11" s="94"/>
      <c r="M11" s="1144"/>
      <c r="N11" s="1144"/>
      <c r="O11" s="1144"/>
      <c r="P11" s="1144"/>
      <c r="Q11" s="87"/>
    </row>
    <row r="12" spans="1:17" ht="28.5" customHeight="1" thickBot="1" x14ac:dyDescent="0.25">
      <c r="A12" s="1140" t="s">
        <v>232</v>
      </c>
      <c r="B12" s="1054"/>
      <c r="C12" s="552">
        <v>300</v>
      </c>
      <c r="D12" s="544">
        <v>600</v>
      </c>
      <c r="E12" s="543">
        <v>0</v>
      </c>
      <c r="F12" s="551">
        <f>(C12)/1000*(D12)/1000*(11.5+0.3*2)+(E12/1000*2)</f>
        <v>2.1779999999999999</v>
      </c>
      <c r="G12" s="553">
        <f t="shared" si="0"/>
        <v>653.4</v>
      </c>
      <c r="H12" s="1130" t="str">
        <f t="shared" ref="H12:H15" si="1">IF(C12&lt;150,"Увеличьте высоту фасада (мин. 150 мм)",IF(C12&gt;600,"Уменьшите высоту фасада (макс. 600 мм)",IF(G12&lt;400,"Очень лёгкий фасад, используйте комбинацию механизмов AVENTOS HK-S 20K2A01+20K2C01 или AVENTOS HK-XS",IF(G12&lt;850,"2 силовых механизма AVENTOS HK-S тип C",IF(G12&lt;1000,"2 силовых механизма AVENTOS HK-S, тип С + тип Е",IF(G12&lt;2005,"2 силовых механизма AVENTOS HK-S тип Е",IF(G12&gt;2005,"Очень тяжёлый фасад, используйте механизм AVENTOS HK",)))))))</f>
        <v>2 силовых механизма AVENTOS HK-S тип C</v>
      </c>
      <c r="I12" s="1131"/>
      <c r="J12" s="40"/>
      <c r="K12" s="40"/>
      <c r="L12" s="40"/>
      <c r="M12" s="1145"/>
      <c r="N12" s="1145"/>
      <c r="O12" s="1145"/>
      <c r="P12" s="1145"/>
      <c r="Q12" s="41"/>
    </row>
    <row r="13" spans="1:17" ht="25.5" customHeight="1" thickBot="1" x14ac:dyDescent="0.25">
      <c r="A13" s="1141" t="s">
        <v>90</v>
      </c>
      <c r="B13" s="1142"/>
      <c r="C13" s="712">
        <v>490</v>
      </c>
      <c r="D13" s="713">
        <v>900</v>
      </c>
      <c r="E13" s="548">
        <v>0</v>
      </c>
      <c r="F13" s="714">
        <f>(C13)/1000*(D13)/1000*(11.5+0.3*2)+(E13/1000*2)</f>
        <v>5.3361000000000001</v>
      </c>
      <c r="G13" s="550">
        <f t="shared" si="0"/>
        <v>2614.6889999999999</v>
      </c>
      <c r="H13" s="1136" t="str">
        <f t="shared" si="1"/>
        <v>Очень тяжёлый фасад, используйте механизм AVENTOS HK</v>
      </c>
      <c r="I13" s="1137"/>
      <c r="J13" s="93"/>
      <c r="K13" s="93"/>
      <c r="L13" s="93"/>
      <c r="M13" s="1146"/>
      <c r="N13" s="1146"/>
      <c r="O13" s="1146"/>
      <c r="P13" s="1146"/>
      <c r="Q13" s="88"/>
    </row>
    <row r="14" spans="1:17" ht="27" customHeight="1" thickBot="1" x14ac:dyDescent="0.25">
      <c r="A14" s="1140" t="s">
        <v>404</v>
      </c>
      <c r="B14" s="1143"/>
      <c r="C14" s="542">
        <v>400</v>
      </c>
      <c r="D14" s="543">
        <v>600</v>
      </c>
      <c r="E14" s="544">
        <v>0</v>
      </c>
      <c r="F14" s="545">
        <f>(C14)/1000*(D14)/1000*(8.8+0.3*2)+(E14/1000*2)</f>
        <v>2.2559999999999998</v>
      </c>
      <c r="G14" s="708">
        <f t="shared" si="0"/>
        <v>902.39999999999986</v>
      </c>
      <c r="H14" s="1130" t="str">
        <f t="shared" si="1"/>
        <v>2 силовых механизма AVENTOS HK-S, тип С + тип Е</v>
      </c>
      <c r="I14" s="1131"/>
      <c r="J14" s="93"/>
      <c r="K14" s="93"/>
      <c r="L14" s="93"/>
      <c r="M14" s="1146"/>
      <c r="N14" s="1146"/>
      <c r="O14" s="1146"/>
      <c r="P14" s="1146"/>
      <c r="Q14" s="88"/>
    </row>
    <row r="15" spans="1:17" ht="31.5" customHeight="1" thickBot="1" x14ac:dyDescent="0.25">
      <c r="A15" s="1079" t="s">
        <v>538</v>
      </c>
      <c r="B15" s="1034"/>
      <c r="C15" s="715">
        <v>300</v>
      </c>
      <c r="D15" s="546">
        <v>300</v>
      </c>
      <c r="E15" s="716">
        <v>0</v>
      </c>
      <c r="F15" s="554">
        <f>(C15)/1000*(D15)/1000*4*(2500/1000)+(C15)/1000*(D15)/1000*16*(680/1000)+(E15/1000*2)</f>
        <v>1.8792</v>
      </c>
      <c r="G15" s="555">
        <f t="shared" si="0"/>
        <v>563.76</v>
      </c>
      <c r="H15" s="1128" t="str">
        <f t="shared" si="1"/>
        <v>2 силовых механизма AVENTOS HK-S тип C</v>
      </c>
      <c r="I15" s="1129"/>
      <c r="J15" s="93"/>
      <c r="K15" s="93"/>
      <c r="L15" s="93"/>
      <c r="M15" s="364"/>
      <c r="N15" s="364"/>
      <c r="O15" s="364"/>
      <c r="P15" s="364"/>
      <c r="Q15" s="88"/>
    </row>
    <row r="16" spans="1:17" ht="24" customHeight="1" thickBot="1" x14ac:dyDescent="0.25">
      <c r="A16" s="415" t="s">
        <v>444</v>
      </c>
      <c r="B16" s="409"/>
      <c r="I16" s="416"/>
      <c r="J16" s="93"/>
      <c r="K16" s="93"/>
      <c r="L16" s="93"/>
      <c r="M16" s="1146"/>
      <c r="N16" s="1146"/>
      <c r="O16" s="1146"/>
      <c r="P16" s="1146"/>
      <c r="Q16" s="88"/>
    </row>
    <row r="17" spans="1:17" ht="24.75" customHeight="1" x14ac:dyDescent="0.2">
      <c r="A17" s="1116" t="s">
        <v>392</v>
      </c>
      <c r="B17" s="1117"/>
      <c r="C17" s="1117"/>
      <c r="D17" s="1117"/>
      <c r="E17" s="1117"/>
      <c r="F17" s="1117"/>
      <c r="G17" s="1117"/>
      <c r="H17" s="1118"/>
      <c r="I17" s="1119"/>
      <c r="J17" s="93"/>
      <c r="K17" s="93"/>
      <c r="L17" s="93"/>
      <c r="M17" s="1146"/>
      <c r="N17" s="1146"/>
      <c r="O17" s="1146"/>
      <c r="P17" s="1146"/>
      <c r="Q17" s="88"/>
    </row>
    <row r="18" spans="1:17" ht="21" customHeight="1" x14ac:dyDescent="0.2">
      <c r="A18" s="1115" t="s">
        <v>393</v>
      </c>
      <c r="B18" s="1115"/>
      <c r="C18" s="1115"/>
      <c r="D18" s="1092" t="s">
        <v>262</v>
      </c>
      <c r="E18" s="1093"/>
      <c r="F18" s="84">
        <v>2</v>
      </c>
      <c r="G18" s="84" t="s">
        <v>291</v>
      </c>
      <c r="H18" s="1138" t="s">
        <v>184</v>
      </c>
      <c r="I18" s="1074"/>
    </row>
    <row r="19" spans="1:17" ht="21" customHeight="1" x14ac:dyDescent="0.2">
      <c r="A19" s="1115" t="s">
        <v>394</v>
      </c>
      <c r="B19" s="1115"/>
      <c r="C19" s="1115"/>
      <c r="D19" s="1092" t="s">
        <v>171</v>
      </c>
      <c r="E19" s="1093"/>
      <c r="F19" s="84">
        <v>1</v>
      </c>
      <c r="G19" s="84" t="s">
        <v>175</v>
      </c>
      <c r="H19" s="1138" t="s">
        <v>176</v>
      </c>
      <c r="I19" s="1139"/>
    </row>
    <row r="20" spans="1:17" ht="26.25" customHeight="1" x14ac:dyDescent="0.2">
      <c r="A20" s="1115" t="s">
        <v>395</v>
      </c>
      <c r="B20" s="1115"/>
      <c r="C20" s="1115"/>
      <c r="D20" s="1092" t="s">
        <v>172</v>
      </c>
      <c r="E20" s="1093"/>
      <c r="F20" s="84">
        <v>1</v>
      </c>
      <c r="G20" s="84" t="s">
        <v>175</v>
      </c>
      <c r="H20" s="1138" t="s">
        <v>176</v>
      </c>
      <c r="I20" s="1139"/>
    </row>
    <row r="21" spans="1:17" ht="29.25" customHeight="1" x14ac:dyDescent="0.2">
      <c r="A21" s="1115" t="s">
        <v>396</v>
      </c>
      <c r="B21" s="1115"/>
      <c r="C21" s="1115"/>
      <c r="D21" s="1147" t="s">
        <v>292</v>
      </c>
      <c r="E21" s="1093"/>
      <c r="F21" s="84">
        <v>2</v>
      </c>
      <c r="G21" s="84" t="s">
        <v>61</v>
      </c>
      <c r="H21" s="1138" t="s">
        <v>157</v>
      </c>
      <c r="I21" s="1139"/>
    </row>
    <row r="22" spans="1:17" ht="24.75" customHeight="1" x14ac:dyDescent="0.2">
      <c r="A22" s="1115" t="s">
        <v>400</v>
      </c>
      <c r="B22" s="1115"/>
      <c r="C22" s="1115"/>
      <c r="D22" s="1092" t="s">
        <v>390</v>
      </c>
      <c r="E22" s="1093"/>
      <c r="F22" s="84">
        <v>1</v>
      </c>
      <c r="G22" s="84"/>
      <c r="H22" s="1138" t="s">
        <v>184</v>
      </c>
      <c r="I22" s="1139"/>
    </row>
    <row r="23" spans="1:17" ht="24.75" customHeight="1" x14ac:dyDescent="0.2">
      <c r="A23" s="1115" t="s">
        <v>398</v>
      </c>
      <c r="B23" s="1115"/>
      <c r="C23" s="1115"/>
      <c r="D23" s="1092" t="s">
        <v>391</v>
      </c>
      <c r="E23" s="1093"/>
      <c r="F23" s="84">
        <v>1</v>
      </c>
      <c r="G23" s="84"/>
      <c r="H23" s="1138" t="s">
        <v>184</v>
      </c>
      <c r="I23" s="1139"/>
    </row>
    <row r="24" spans="1:17" ht="27.75" customHeight="1" x14ac:dyDescent="0.2">
      <c r="A24" s="1101" t="s">
        <v>399</v>
      </c>
      <c r="B24" s="1102"/>
      <c r="C24" s="1102"/>
      <c r="D24" s="1092" t="s">
        <v>183</v>
      </c>
      <c r="E24" s="1093"/>
      <c r="F24" s="84">
        <v>1</v>
      </c>
      <c r="G24" s="84"/>
      <c r="H24" s="1138" t="s">
        <v>184</v>
      </c>
      <c r="I24" s="1139"/>
    </row>
    <row r="25" spans="1:17" ht="24" customHeight="1" x14ac:dyDescent="0.2"/>
    <row r="26" spans="1:17" ht="32.25" customHeight="1" x14ac:dyDescent="0.2"/>
  </sheetData>
  <sheetProtection algorithmName="SHA-512" hashValue="suUsnrSTrh9b0V5jZilzsXV1JSUPCWLdgr+vEePhnLuFIOJtqM+2rL8t8gIBUwPQ3LZUN0gr52Ww9M/yUNBe3w==" saltValue="tPdbGyUUROhZ6xp8Ql7REQ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customSheetViews>
    <customSheetView guid="{A25B6F15-9B48-4230-9C30-183637D1319E}" showGridLines="0" hiddenRows="1" topLeftCell="A2">
      <selection activeCell="F11" sqref="F11:G11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56">
    <mergeCell ref="H24:I24"/>
    <mergeCell ref="A21:C21"/>
    <mergeCell ref="A22:C22"/>
    <mergeCell ref="M11:P11"/>
    <mergeCell ref="M12:N12"/>
    <mergeCell ref="O12:P12"/>
    <mergeCell ref="M13:N13"/>
    <mergeCell ref="O13:P13"/>
    <mergeCell ref="M17:N17"/>
    <mergeCell ref="O17:P17"/>
    <mergeCell ref="M14:N14"/>
    <mergeCell ref="O14:P14"/>
    <mergeCell ref="M16:N16"/>
    <mergeCell ref="O16:P16"/>
    <mergeCell ref="D21:E21"/>
    <mergeCell ref="D22:E22"/>
    <mergeCell ref="H12:I12"/>
    <mergeCell ref="H13:I13"/>
    <mergeCell ref="A23:C23"/>
    <mergeCell ref="H18:I18"/>
    <mergeCell ref="H19:I19"/>
    <mergeCell ref="H20:I20"/>
    <mergeCell ref="H21:I21"/>
    <mergeCell ref="H22:I22"/>
    <mergeCell ref="H23:I23"/>
    <mergeCell ref="D23:E23"/>
    <mergeCell ref="A12:B12"/>
    <mergeCell ref="A13:B13"/>
    <mergeCell ref="A14:B14"/>
    <mergeCell ref="A15:B15"/>
    <mergeCell ref="A1:I1"/>
    <mergeCell ref="A18:C18"/>
    <mergeCell ref="A19:C19"/>
    <mergeCell ref="A20:C20"/>
    <mergeCell ref="A17:I17"/>
    <mergeCell ref="H9:I9"/>
    <mergeCell ref="F2:G2"/>
    <mergeCell ref="C4:D4"/>
    <mergeCell ref="A8:I8"/>
    <mergeCell ref="D18:E18"/>
    <mergeCell ref="D19:E19"/>
    <mergeCell ref="D20:E20"/>
    <mergeCell ref="H15:I15"/>
    <mergeCell ref="H14:I14"/>
    <mergeCell ref="H10:I10"/>
    <mergeCell ref="H11:I11"/>
    <mergeCell ref="D24:E24"/>
    <mergeCell ref="C2:E3"/>
    <mergeCell ref="C5:E5"/>
    <mergeCell ref="C6:E6"/>
    <mergeCell ref="C7:E7"/>
    <mergeCell ref="A24:C24"/>
    <mergeCell ref="A2:B3"/>
    <mergeCell ref="A5:B5"/>
    <mergeCell ref="A6:B6"/>
    <mergeCell ref="A7:B7"/>
  </mergeCells>
  <phoneticPr fontId="14" type="noConversion"/>
  <conditionalFormatting sqref="H10:I15">
    <cfRule type="containsText" dxfId="103" priority="10" operator="containsText" text="уменьшите высоту фасада">
      <formula>NOT(ISERROR(SEARCH("уменьшите высоту фасада",H10)))</formula>
    </cfRule>
    <cfRule type="containsText" dxfId="102" priority="11" operator="containsText" text="увеличьте высоту фасада">
      <formula>NOT(ISERROR(SEARCH("увеличьте высоту фасада",H10)))</formula>
    </cfRule>
    <cfRule type="containsText" dxfId="101" priority="15" stopIfTrue="1" operator="containsText" text="очень">
      <formula>NOT(ISERROR(SEARCH("очень",H10)))</formula>
    </cfRule>
  </conditionalFormatting>
  <hyperlinks>
    <hyperlink ref="J1" location="Содержание!R1C1" display="← СОДЕРЖАНИЕ:" xr:uid="{00000000-0004-0000-0A00-000000000000}"/>
  </hyperlinks>
  <pageMargins left="0.75" right="0.75" top="1" bottom="1" header="0.5" footer="0.5"/>
  <pageSetup paperSize="9" orientation="portrait" verticalDpi="0" r:id="rId2"/>
  <headerFooter alignWithMargins="0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1">
    <pageSetUpPr fitToPage="1"/>
  </sheetPr>
  <dimension ref="H1:H106"/>
  <sheetViews>
    <sheetView showGridLines="0" zoomScale="84" zoomScaleNormal="84" workbookViewId="0">
      <selection activeCell="H1" sqref="H1"/>
    </sheetView>
  </sheetViews>
  <sheetFormatPr defaultRowHeight="12.75" x14ac:dyDescent="0.2"/>
  <cols>
    <col min="1" max="1" width="23.42578125" customWidth="1"/>
    <col min="2" max="2" width="26.28515625" customWidth="1"/>
    <col min="3" max="3" width="27.42578125" customWidth="1"/>
    <col min="4" max="4" width="27.5703125" customWidth="1"/>
    <col min="5" max="5" width="26.7109375" customWidth="1"/>
    <col min="6" max="6" width="20.140625" customWidth="1"/>
    <col min="7" max="7" width="17.28515625" customWidth="1"/>
    <col min="8" max="8" width="21.7109375" customWidth="1"/>
  </cols>
  <sheetData>
    <row r="1" spans="8:8" ht="45" customHeight="1" thickBot="1" x14ac:dyDescent="0.25">
      <c r="H1" s="436" t="s">
        <v>544</v>
      </c>
    </row>
    <row r="2" spans="8:8" ht="12.95" customHeight="1" x14ac:dyDescent="0.2"/>
    <row r="3" spans="8:8" ht="12.95" customHeight="1" x14ac:dyDescent="0.2"/>
    <row r="4" spans="8:8" ht="12.95" customHeight="1" x14ac:dyDescent="0.2"/>
    <row r="5" spans="8:8" ht="12.95" customHeight="1" x14ac:dyDescent="0.2"/>
    <row r="6" spans="8:8" ht="12.95" customHeight="1" x14ac:dyDescent="0.2"/>
    <row r="7" spans="8:8" ht="12.95" customHeight="1" x14ac:dyDescent="0.2"/>
    <row r="8" spans="8:8" ht="12.95" customHeight="1" x14ac:dyDescent="0.2"/>
    <row r="9" spans="8:8" ht="12.95" customHeight="1" x14ac:dyDescent="0.2"/>
    <row r="10" spans="8:8" ht="12.95" customHeight="1" x14ac:dyDescent="0.2"/>
    <row r="11" spans="8:8" ht="12.95" customHeight="1" x14ac:dyDescent="0.2"/>
    <row r="12" spans="8:8" ht="12.95" customHeight="1" x14ac:dyDescent="0.2"/>
    <row r="13" spans="8:8" ht="12.95" customHeight="1" x14ac:dyDescent="0.2"/>
    <row r="14" spans="8:8" ht="12.95" customHeight="1" x14ac:dyDescent="0.2"/>
    <row r="15" spans="8:8" ht="12.95" customHeight="1" x14ac:dyDescent="0.2"/>
    <row r="16" spans="8:8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2.95" customHeight="1" x14ac:dyDescent="0.2"/>
    <row r="27" ht="12.95" customHeight="1" x14ac:dyDescent="0.2"/>
    <row r="28" ht="12.95" customHeight="1" x14ac:dyDescent="0.2"/>
    <row r="29" ht="12.95" customHeight="1" x14ac:dyDescent="0.2"/>
    <row r="30" ht="12.95" customHeight="1" x14ac:dyDescent="0.2"/>
    <row r="31" ht="12.95" customHeight="1" x14ac:dyDescent="0.2"/>
    <row r="32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</sheetData>
  <sheetProtection algorithmName="SHA-512" hashValue="oBCVaQ4JBQ7vm/2GNIj9y3izShcC5L7NGi2/Nww3TasYfddpGZigIdPJFkSYClLxiufoFZY/u9hKdSSYXCDpUQ==" saltValue="84hjX0HxC2y5ofHRhKOlZg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cale="86" showGridLines="0" fitToPage="1" topLeftCell="A73">
      <selection activeCell="D88" sqref="D88"/>
      <pageMargins left="0.39370078740157483" right="0.39370078740157483" top="0.39370078740157483" bottom="0.39370078740157483" header="0.51181102362204722" footer="0.51181102362204722"/>
      <pageSetup paperSize="9" scale="91" orientation="portrait" verticalDpi="0" r:id="rId1"/>
      <headerFooter alignWithMargins="0"/>
    </customSheetView>
  </customSheetViews>
  <phoneticPr fontId="14" type="noConversion"/>
  <hyperlinks>
    <hyperlink ref="H1" location="Содержание!R1C1" display="← СОДЕРЖАНИЕ:" xr:uid="{00000000-0004-0000-0B00-000000000000}"/>
  </hyperlinks>
  <pageMargins left="0.39370078740157483" right="0.39370078740157483" top="0.39370078740157483" bottom="0.39370078740157483" header="0.51181102362204722" footer="0.51181102362204722"/>
  <pageSetup paperSize="9" scale="91" orientation="portrait" verticalDpi="0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7" tint="-0.249977111117893"/>
  </sheetPr>
  <dimension ref="A1:AY59"/>
  <sheetViews>
    <sheetView showGridLines="0" topLeftCell="A10" zoomScale="75" zoomScaleNormal="75" workbookViewId="0">
      <selection activeCell="V1" sqref="V1"/>
    </sheetView>
  </sheetViews>
  <sheetFormatPr defaultRowHeight="12.75" x14ac:dyDescent="0.2"/>
  <cols>
    <col min="1" max="1" width="12.5703125" customWidth="1"/>
    <col min="2" max="2" width="20.5703125" customWidth="1"/>
    <col min="3" max="3" width="13.7109375" customWidth="1"/>
    <col min="4" max="4" width="12.140625" customWidth="1"/>
    <col min="5" max="5" width="15.140625" customWidth="1"/>
    <col min="6" max="6" width="17.140625" customWidth="1"/>
    <col min="7" max="7" width="11.85546875" customWidth="1"/>
    <col min="8" max="8" width="10.28515625" customWidth="1"/>
    <col min="9" max="9" width="14.42578125" customWidth="1"/>
    <col min="10" max="10" width="11.5703125" customWidth="1"/>
    <col min="11" max="12" width="11.28515625" customWidth="1"/>
    <col min="13" max="13" width="4.5703125" customWidth="1"/>
    <col min="14" max="14" width="12.7109375" customWidth="1"/>
    <col min="15" max="15" width="11.42578125" customWidth="1"/>
    <col min="16" max="16" width="14.28515625" customWidth="1"/>
    <col min="17" max="17" width="13.42578125" customWidth="1"/>
    <col min="18" max="18" width="8.28515625" customWidth="1"/>
    <col min="19" max="19" width="9.140625" customWidth="1"/>
    <col min="20" max="20" width="9.42578125" customWidth="1"/>
    <col min="21" max="21" width="8.28515625" customWidth="1"/>
    <col min="22" max="22" width="24" customWidth="1"/>
    <col min="23" max="23" width="10.140625" customWidth="1"/>
    <col min="24" max="24" width="10.28515625" customWidth="1"/>
    <col min="25" max="25" width="12.140625" customWidth="1"/>
    <col min="27" max="31" width="9.140625" style="19"/>
    <col min="32" max="32" width="0" style="19" hidden="1" customWidth="1"/>
    <col min="33" max="42" width="9.140625" style="19" hidden="1" customWidth="1"/>
    <col min="43" max="46" width="9.140625" style="19" customWidth="1"/>
    <col min="47" max="51" width="9.140625" style="19"/>
  </cols>
  <sheetData>
    <row r="1" spans="1:22" ht="51.75" customHeight="1" thickBot="1" x14ac:dyDescent="0.65">
      <c r="A1" s="1188"/>
      <c r="B1" s="1189"/>
      <c r="C1" s="1189"/>
      <c r="D1" s="1189"/>
      <c r="E1" s="1189"/>
      <c r="F1" s="1189"/>
      <c r="G1" s="1189"/>
      <c r="H1" s="1189"/>
      <c r="I1" s="1189"/>
      <c r="J1" s="1189"/>
      <c r="K1" s="1190"/>
      <c r="L1" s="1190"/>
      <c r="M1" s="1190"/>
      <c r="N1" s="1190"/>
      <c r="O1" s="1190"/>
      <c r="P1" s="1190"/>
      <c r="Q1" s="1190"/>
      <c r="R1" s="1190"/>
      <c r="S1" s="1190"/>
      <c r="T1" s="1190"/>
      <c r="U1" s="1190"/>
      <c r="V1" s="437" t="s">
        <v>544</v>
      </c>
    </row>
    <row r="2" spans="1:22" ht="24" customHeight="1" thickBot="1" x14ac:dyDescent="0.3">
      <c r="A2" s="1067" t="s">
        <v>366</v>
      </c>
      <c r="B2" s="1068"/>
      <c r="C2" s="1068"/>
      <c r="D2" s="1194"/>
      <c r="E2" s="1198" t="s">
        <v>358</v>
      </c>
      <c r="F2" s="1199"/>
      <c r="G2" s="1199"/>
      <c r="H2" s="1199"/>
      <c r="I2" s="1200"/>
      <c r="J2" s="90"/>
      <c r="K2" s="151"/>
      <c r="L2" s="151"/>
      <c r="M2" s="90"/>
      <c r="N2" s="1067" t="s">
        <v>362</v>
      </c>
      <c r="O2" s="1068"/>
      <c r="P2" s="1068"/>
      <c r="Q2" s="1194"/>
      <c r="R2" s="1198" t="s">
        <v>358</v>
      </c>
      <c r="S2" s="1199"/>
      <c r="T2" s="1199"/>
      <c r="U2" s="1200"/>
    </row>
    <row r="3" spans="1:22" ht="21" customHeight="1" thickBot="1" x14ac:dyDescent="0.35">
      <c r="A3" s="1195"/>
      <c r="B3" s="1196"/>
      <c r="C3" s="1196"/>
      <c r="D3" s="1197"/>
      <c r="E3" s="1201" t="s">
        <v>43</v>
      </c>
      <c r="F3" s="1202"/>
      <c r="G3" s="1174" t="s">
        <v>44</v>
      </c>
      <c r="H3" s="1175"/>
      <c r="I3" s="1030"/>
      <c r="J3" s="90"/>
      <c r="K3" s="152"/>
      <c r="L3" s="152"/>
      <c r="M3" s="153"/>
      <c r="N3" s="1195"/>
      <c r="O3" s="1196"/>
      <c r="P3" s="1196"/>
      <c r="Q3" s="1197"/>
      <c r="R3" s="1201" t="s">
        <v>43</v>
      </c>
      <c r="S3" s="1202"/>
      <c r="T3" s="1202" t="s">
        <v>44</v>
      </c>
      <c r="U3" s="1203"/>
    </row>
    <row r="4" spans="1:22" ht="27" customHeight="1" x14ac:dyDescent="0.3">
      <c r="A4" s="1067" t="s">
        <v>361</v>
      </c>
      <c r="B4" s="1166"/>
      <c r="C4" s="1166"/>
      <c r="D4" s="154" t="s">
        <v>296</v>
      </c>
      <c r="E4" s="1181">
        <v>200</v>
      </c>
      <c r="F4" s="1182"/>
      <c r="G4" s="1176">
        <v>1000</v>
      </c>
      <c r="H4" s="1177"/>
      <c r="I4" s="1178"/>
      <c r="J4" s="90"/>
      <c r="K4" s="152"/>
      <c r="L4" s="152"/>
      <c r="M4" s="153"/>
      <c r="N4" s="1067" t="s">
        <v>363</v>
      </c>
      <c r="O4" s="1166"/>
      <c r="P4" s="1166"/>
      <c r="Q4" s="154" t="s">
        <v>296</v>
      </c>
      <c r="R4" s="1181">
        <v>180</v>
      </c>
      <c r="S4" s="1182"/>
      <c r="T4" s="1182">
        <v>800</v>
      </c>
      <c r="U4" s="1192"/>
    </row>
    <row r="5" spans="1:22" ht="27" customHeight="1" thickBot="1" x14ac:dyDescent="0.35">
      <c r="A5" s="1167"/>
      <c r="B5" s="1168"/>
      <c r="C5" s="1168"/>
      <c r="D5" s="155" t="s">
        <v>298</v>
      </c>
      <c r="E5" s="1163">
        <v>400</v>
      </c>
      <c r="F5" s="1164"/>
      <c r="G5" s="1179">
        <v>2000</v>
      </c>
      <c r="H5" s="1180"/>
      <c r="I5" s="954"/>
      <c r="J5" s="90"/>
      <c r="K5" s="152"/>
      <c r="L5" s="152"/>
      <c r="M5" s="153"/>
      <c r="N5" s="1167"/>
      <c r="O5" s="1168"/>
      <c r="P5" s="1168"/>
      <c r="Q5" s="155" t="s">
        <v>298</v>
      </c>
      <c r="R5" s="1163">
        <v>360</v>
      </c>
      <c r="S5" s="1164"/>
      <c r="T5" s="1164">
        <v>1600</v>
      </c>
      <c r="U5" s="1165"/>
    </row>
    <row r="6" spans="1:22" ht="27" customHeight="1" x14ac:dyDescent="0.3">
      <c r="A6" s="1067" t="s">
        <v>360</v>
      </c>
      <c r="B6" s="1166"/>
      <c r="C6" s="1166"/>
      <c r="D6" s="156" t="s">
        <v>296</v>
      </c>
      <c r="E6" s="1181">
        <v>500</v>
      </c>
      <c r="F6" s="1182"/>
      <c r="G6" s="1176">
        <v>1500</v>
      </c>
      <c r="H6" s="1177"/>
      <c r="I6" s="1178"/>
      <c r="J6" s="90"/>
      <c r="K6" s="152"/>
      <c r="L6" s="152"/>
      <c r="M6" s="90"/>
      <c r="N6" s="1067" t="s">
        <v>364</v>
      </c>
      <c r="O6" s="1166"/>
      <c r="P6" s="1166"/>
      <c r="Q6" s="156" t="s">
        <v>296</v>
      </c>
      <c r="R6" s="1181">
        <v>500</v>
      </c>
      <c r="S6" s="1182"/>
      <c r="T6" s="1182">
        <v>1200</v>
      </c>
      <c r="U6" s="1192"/>
    </row>
    <row r="7" spans="1:22" ht="24.75" customHeight="1" thickBot="1" x14ac:dyDescent="0.35">
      <c r="A7" s="1167"/>
      <c r="B7" s="1168"/>
      <c r="C7" s="1168"/>
      <c r="D7" s="155" t="s">
        <v>298</v>
      </c>
      <c r="E7" s="1163">
        <v>1000</v>
      </c>
      <c r="F7" s="1164"/>
      <c r="G7" s="1179">
        <v>3000</v>
      </c>
      <c r="H7" s="1180"/>
      <c r="I7" s="954"/>
      <c r="J7" s="90"/>
      <c r="K7" s="152"/>
      <c r="L7" s="152"/>
      <c r="M7" s="90"/>
      <c r="N7" s="1167"/>
      <c r="O7" s="1168"/>
      <c r="P7" s="1168"/>
      <c r="Q7" s="155" t="s">
        <v>298</v>
      </c>
      <c r="R7" s="1163">
        <v>1000</v>
      </c>
      <c r="S7" s="1164"/>
      <c r="T7" s="1164">
        <v>2400</v>
      </c>
      <c r="U7" s="1165"/>
    </row>
    <row r="8" spans="1:22" ht="30.75" customHeight="1" x14ac:dyDescent="0.2">
      <c r="A8" s="1067" t="s">
        <v>359</v>
      </c>
      <c r="B8" s="1166"/>
      <c r="C8" s="1166"/>
      <c r="D8" s="157" t="s">
        <v>296</v>
      </c>
      <c r="E8" s="1169">
        <v>800</v>
      </c>
      <c r="F8" s="1170"/>
      <c r="G8" s="1176">
        <v>1800</v>
      </c>
      <c r="H8" s="1177"/>
      <c r="I8" s="1178"/>
      <c r="J8" s="90"/>
      <c r="K8" s="90"/>
      <c r="L8" s="90"/>
      <c r="M8" s="90"/>
      <c r="N8" s="1067" t="s">
        <v>365</v>
      </c>
      <c r="O8" s="1166"/>
      <c r="P8" s="1166"/>
      <c r="Q8" s="157" t="s">
        <v>296</v>
      </c>
      <c r="R8" s="1169">
        <v>800</v>
      </c>
      <c r="S8" s="1170"/>
      <c r="T8" s="1170">
        <v>1600</v>
      </c>
      <c r="U8" s="1193"/>
    </row>
    <row r="9" spans="1:22" ht="25.5" customHeight="1" thickBot="1" x14ac:dyDescent="0.25">
      <c r="A9" s="1167"/>
      <c r="B9" s="1168"/>
      <c r="C9" s="1168"/>
      <c r="D9" s="155" t="s">
        <v>298</v>
      </c>
      <c r="E9" s="1163">
        <v>1600</v>
      </c>
      <c r="F9" s="1164"/>
      <c r="G9" s="1179">
        <v>3600</v>
      </c>
      <c r="H9" s="1180"/>
      <c r="I9" s="954"/>
      <c r="J9" s="90"/>
      <c r="K9" s="90"/>
      <c r="L9" s="90"/>
      <c r="M9" s="90"/>
      <c r="N9" s="1167"/>
      <c r="O9" s="1168"/>
      <c r="P9" s="1168"/>
      <c r="Q9" s="155" t="s">
        <v>298</v>
      </c>
      <c r="R9" s="1163">
        <v>1600</v>
      </c>
      <c r="S9" s="1164"/>
      <c r="T9" s="1164">
        <v>3200</v>
      </c>
      <c r="U9" s="1165"/>
    </row>
    <row r="10" spans="1:22" ht="27.75" customHeight="1" thickBot="1" x14ac:dyDescent="0.25">
      <c r="A10" s="1191" t="s">
        <v>403</v>
      </c>
      <c r="B10" s="1191"/>
      <c r="C10" s="1191"/>
      <c r="D10" s="1191"/>
      <c r="E10" s="1191"/>
      <c r="F10" s="1191"/>
      <c r="G10" s="1191"/>
      <c r="H10" s="1191"/>
      <c r="I10" s="1191"/>
      <c r="J10" s="1191"/>
      <c r="K10" s="1191"/>
      <c r="L10" s="1191"/>
      <c r="M10" s="1191"/>
      <c r="N10" s="1191"/>
      <c r="O10" s="1191"/>
      <c r="P10" s="1191"/>
      <c r="Q10" s="1191"/>
      <c r="R10" s="1191"/>
      <c r="S10" s="1191"/>
      <c r="T10" s="1191"/>
      <c r="U10" s="1191"/>
    </row>
    <row r="11" spans="1:22" ht="45" customHeight="1" thickBot="1" x14ac:dyDescent="0.25">
      <c r="A11" s="1231" t="s">
        <v>340</v>
      </c>
      <c r="B11" s="969"/>
      <c r="C11" s="969"/>
      <c r="D11" s="518" t="s">
        <v>585</v>
      </c>
      <c r="E11" s="158" t="s">
        <v>33</v>
      </c>
      <c r="F11" s="159" t="s">
        <v>32</v>
      </c>
      <c r="G11" s="405" t="s">
        <v>416</v>
      </c>
      <c r="H11" s="160" t="s">
        <v>293</v>
      </c>
      <c r="I11" s="363" t="s">
        <v>36</v>
      </c>
      <c r="J11" s="1185" t="s">
        <v>367</v>
      </c>
      <c r="K11" s="1186"/>
      <c r="L11" s="1186"/>
      <c r="M11" s="1186"/>
      <c r="N11" s="1186"/>
      <c r="O11" s="1187"/>
      <c r="P11" s="1185" t="s">
        <v>368</v>
      </c>
      <c r="Q11" s="1186"/>
      <c r="R11" s="1186"/>
      <c r="S11" s="1186"/>
      <c r="T11" s="1186"/>
      <c r="U11" s="1187"/>
    </row>
    <row r="12" spans="1:22" ht="41.25" customHeight="1" thickBot="1" x14ac:dyDescent="0.25">
      <c r="A12" s="1208" t="s">
        <v>596</v>
      </c>
      <c r="B12" s="1232"/>
      <c r="C12" s="1233"/>
      <c r="D12" s="558">
        <v>18</v>
      </c>
      <c r="E12" s="560">
        <v>460</v>
      </c>
      <c r="F12" s="560">
        <v>600</v>
      </c>
      <c r="G12" s="560">
        <v>0</v>
      </c>
      <c r="H12" s="161">
        <f>(E12)/1000*(F12)/1000*D12*(680/1000)+(G12/1000*2)</f>
        <v>3.3782400000000004</v>
      </c>
      <c r="I12" s="162">
        <f>H12*E12</f>
        <v>1553.9904000000001</v>
      </c>
      <c r="J12" s="1171" t="str">
        <f>IF(E12&lt;240,"Увеличьте высоту фасада (мин. 240 мм)",IF(E12&gt;600,"Уменьшите высоту фасада (макс. 600 мм)",IF(I12&lt;400,"Очень лёгкий фасад, используйте 1 силовой механизм AVENTOS HK-XS тип 11",IF(I12&lt;1200,"2 силовых механизма AVENTOS HK-XS тип 11 или 1 силовой механизм AVENTOS HK-XS тип 13",IF(I12&lt;1350,"2 силовых механизма AVENTOS HK-XS тип 13 или 1 силовой механизм AVENTOS HK-XS тип 15",IF(I12&lt;1700,"2 силовых механизма AVENTOS HK-XS тип 13 или 1 силовой механизм AVENTOS HK-XS тип 15",IF(I12&lt;3600,"2 силовых механизма AVENTOS HK-XS тип 15",IF(I12&gt;3600,"Очень тяжёлый фасад, используйте механизм AVENTOS HK",))))))))</f>
        <v>2 силовых механизма AVENTOS HK-XS тип 13 или 1 силовой механизм AVENTOS HK-XS тип 15</v>
      </c>
      <c r="K12" s="1172"/>
      <c r="L12" s="1172"/>
      <c r="M12" s="1172"/>
      <c r="N12" s="1172"/>
      <c r="O12" s="1173"/>
      <c r="P12" s="1172" t="str">
        <f t="shared" ref="P12:P17" si="0">IF(E12&lt;240,"Увеличьте высоту фасада (мин. 240 мм)",IF(E12&gt;600,"Уменьшите высоту фасада (макс. 600 мм)",IF(I12&lt;360,"Очень лёгкий фасад, используйте 1 силовой механизм AVENTOS HK-XS тип 11Т",IF(I12&lt;1150,"2 силовых механизма AVENTOS HK-XS тип 11Т или 1 силовой механизм AVENTOS HK-XS тип 13Т",IF(I12&lt;1350,"2 силовых механизма AVENTOS HK-XS тип 13Т или 1 силовой механизм AVENTOS HK-XS тип 15Т",IF(I12&lt;1600,"2 силовых механизма AVENTOS HK-XS тип 13Т или 1 силовой механизм AVENTOS HK-XS тип 15Т",IF(I12&lt;3200,"2 силовых механизма AVENTOS HK-XS тип 15Т",IF(I12&gt;3200,"Очень тяжёлый фасад, используйте механизм AVENTOS HK",))))))))</f>
        <v>2 силовых механизма AVENTOS HK-XS тип 13Т или 1 силовой механизм AVENTOS HK-XS тип 15Т</v>
      </c>
      <c r="Q12" s="1172"/>
      <c r="R12" s="1172"/>
      <c r="S12" s="1172"/>
      <c r="T12" s="1172"/>
      <c r="U12" s="1173"/>
    </row>
    <row r="13" spans="1:22" ht="34.5" customHeight="1" thickBot="1" x14ac:dyDescent="0.25">
      <c r="A13" s="1234" t="s">
        <v>597</v>
      </c>
      <c r="B13" s="1235"/>
      <c r="C13" s="1236"/>
      <c r="D13" s="559">
        <v>18</v>
      </c>
      <c r="E13" s="561">
        <v>480</v>
      </c>
      <c r="F13" s="561">
        <v>840</v>
      </c>
      <c r="G13" s="561">
        <v>0</v>
      </c>
      <c r="H13" s="161">
        <f>(E13)/1000*(F13)/1000*D13*(760/1000)+(G13/1000*2)</f>
        <v>5.5157759999999998</v>
      </c>
      <c r="I13" s="164">
        <f t="shared" ref="I13:I17" si="1">H13*E13</f>
        <v>2647.5724799999998</v>
      </c>
      <c r="J13" s="1214" t="str">
        <f t="shared" ref="J13:J16" si="2">IF(E13&lt;240,"Увеличьте высоту фасада (мин. 240 мм)",IF(E13&gt;600,"Уменьшите высоту фасада (макс. 600 мм)",IF(I13&lt;400,"Очень лёгкий фасад, используйте 1 силовой механизм AVENTOS HK-XS тип 11",IF(I13&lt;1200,"2 силовых механизма AVENTOS HK-XS тип 11 или 1 силовой механизм AVENTOS HK-XS тип 13",IF(I13&lt;1350,"2 силовых механизма AVENTOS HK-XS тип 13 или 1 силовой механизм AVENTOS HK-XS тип 15",IF(I13&lt;1700,"2 силовых механизма AVENTOS HK-XS тип 13 или 1 силовой механизм AVENTOS HK-XS тип 15",IF(I13&lt;3600,"2 силовых механизма AVENTOS HK-XS тип 15",IF(I13&gt;3600,"Очень тяжёлый фасад, используйте механизм AVENTOS HK",))))))))</f>
        <v>2 силовых механизма AVENTOS HK-XS тип 15</v>
      </c>
      <c r="K13" s="1215"/>
      <c r="L13" s="1215"/>
      <c r="M13" s="1215"/>
      <c r="N13" s="1215"/>
      <c r="O13" s="1216"/>
      <c r="P13" s="1215" t="str">
        <f t="shared" si="0"/>
        <v>2 силовых механизма AVENTOS HK-XS тип 15Т</v>
      </c>
      <c r="Q13" s="1215"/>
      <c r="R13" s="1215"/>
      <c r="S13" s="1215"/>
      <c r="T13" s="1215"/>
      <c r="U13" s="1216"/>
    </row>
    <row r="14" spans="1:22" ht="39" customHeight="1" thickBot="1" x14ac:dyDescent="0.25">
      <c r="A14" s="1208" t="s">
        <v>294</v>
      </c>
      <c r="B14" s="1209"/>
      <c r="C14" s="1209"/>
      <c r="D14" s="1210"/>
      <c r="E14" s="560">
        <v>600</v>
      </c>
      <c r="F14" s="560">
        <v>450</v>
      </c>
      <c r="G14" s="560">
        <v>0</v>
      </c>
      <c r="H14" s="161">
        <f>(E14-4)/1000*(F14-4)/1000*(11.5+0.3*2)+(G14/1000)</f>
        <v>3.2163735999999998</v>
      </c>
      <c r="I14" s="165">
        <f t="shared" si="1"/>
        <v>1929.8241599999999</v>
      </c>
      <c r="J14" s="1171" t="str">
        <f t="shared" si="2"/>
        <v>2 силовых механизма AVENTOS HK-XS тип 15</v>
      </c>
      <c r="K14" s="1172"/>
      <c r="L14" s="1172"/>
      <c r="M14" s="1172"/>
      <c r="N14" s="1172"/>
      <c r="O14" s="1173"/>
      <c r="P14" s="1172" t="str">
        <f t="shared" si="0"/>
        <v>2 силовых механизма AVENTOS HK-XS тип 15Т</v>
      </c>
      <c r="Q14" s="1172"/>
      <c r="R14" s="1172"/>
      <c r="S14" s="1172"/>
      <c r="T14" s="1172"/>
      <c r="U14" s="1173"/>
    </row>
    <row r="15" spans="1:22" ht="38.25" customHeight="1" thickBot="1" x14ac:dyDescent="0.25">
      <c r="A15" s="1249" t="s">
        <v>295</v>
      </c>
      <c r="B15" s="1250"/>
      <c r="C15" s="1250"/>
      <c r="D15" s="1034"/>
      <c r="E15" s="561">
        <v>400</v>
      </c>
      <c r="F15" s="561">
        <v>800</v>
      </c>
      <c r="G15" s="561">
        <v>0</v>
      </c>
      <c r="H15" s="163">
        <f>(E15-4)/1000*(F15-4)/1000*(11.5+0.3*2)+(G15/1000)</f>
        <v>3.8141135999999998</v>
      </c>
      <c r="I15" s="166">
        <f t="shared" si="1"/>
        <v>1525.64544</v>
      </c>
      <c r="J15" s="1214" t="str">
        <f t="shared" si="2"/>
        <v>2 силовых механизма AVENTOS HK-XS тип 13 или 1 силовой механизм AVENTOS HK-XS тип 15</v>
      </c>
      <c r="K15" s="1215"/>
      <c r="L15" s="1215"/>
      <c r="M15" s="1215"/>
      <c r="N15" s="1215"/>
      <c r="O15" s="1216"/>
      <c r="P15" s="1215" t="str">
        <f t="shared" si="0"/>
        <v>2 силовых механизма AVENTOS HK-XS тип 13Т или 1 силовой механизм AVENTOS HK-XS тип 15Т</v>
      </c>
      <c r="Q15" s="1215"/>
      <c r="R15" s="1215"/>
      <c r="S15" s="1215"/>
      <c r="T15" s="1215"/>
      <c r="U15" s="1216"/>
    </row>
    <row r="16" spans="1:22" ht="35.25" customHeight="1" thickBot="1" x14ac:dyDescent="0.4">
      <c r="A16" s="1246" t="s">
        <v>404</v>
      </c>
      <c r="B16" s="1247"/>
      <c r="C16" s="1247"/>
      <c r="D16" s="1248"/>
      <c r="E16" s="560">
        <v>450</v>
      </c>
      <c r="F16" s="560">
        <v>600</v>
      </c>
      <c r="G16" s="560">
        <v>0</v>
      </c>
      <c r="H16" s="167">
        <f>(E16-4)/1000*(F16-4)/1000*(8.8+0.3*2)+(G16/1000)</f>
        <v>2.4986704000000004</v>
      </c>
      <c r="I16" s="168">
        <f t="shared" si="1"/>
        <v>1124.4016800000002</v>
      </c>
      <c r="J16" s="1171" t="str">
        <f t="shared" si="2"/>
        <v>2 силовых механизма AVENTOS HK-XS тип 11 или 1 силовой механизм AVENTOS HK-XS тип 13</v>
      </c>
      <c r="K16" s="1172"/>
      <c r="L16" s="1172"/>
      <c r="M16" s="1172"/>
      <c r="N16" s="1172"/>
      <c r="O16" s="1173"/>
      <c r="P16" s="1172" t="str">
        <f t="shared" si="0"/>
        <v>2 силовых механизма AVENTOS HK-XS тип 11Т или 1 силовой механизм AVENTOS HK-XS тип 13Т</v>
      </c>
      <c r="Q16" s="1172"/>
      <c r="R16" s="1172"/>
      <c r="S16" s="1172"/>
      <c r="T16" s="1172"/>
      <c r="U16" s="1173"/>
    </row>
    <row r="17" spans="1:42" ht="35.25" customHeight="1" thickBot="1" x14ac:dyDescent="0.3">
      <c r="A17" s="1211" t="s">
        <v>538</v>
      </c>
      <c r="B17" s="1212"/>
      <c r="C17" s="1212"/>
      <c r="D17" s="1213"/>
      <c r="E17" s="560">
        <v>350</v>
      </c>
      <c r="F17" s="560">
        <v>600</v>
      </c>
      <c r="G17" s="560">
        <v>0</v>
      </c>
      <c r="H17" s="167">
        <f>(E17)/1000*(F17)/1000*4*(2500/1000)+(E17)/1000*(F17)/1000*16*(680/1000)+(G17/1000)</f>
        <v>4.3848000000000003</v>
      </c>
      <c r="I17" s="168">
        <f t="shared" si="1"/>
        <v>1534.68</v>
      </c>
      <c r="J17" s="1171" t="str">
        <f t="shared" ref="J17" si="3">IF(E17&lt;240,"Увеличьте высоту фасада (мин. 240 мм)",IF(E17&gt;600,"Уменьшите высоту фасада (макс. 600 мм)",IF(I17&lt;400,"Очень лёгкий фасад, используйте 1 силовой механизм AVENTOS HK-XS тип 11",IF(I17&lt;1200,"2 силовых механизма AVENTOS HK-XS тип 11 или 1 силовой механизм AVENTOS HK-XS тип 13",IF(I17&lt;1350,"2 силовых механизма AVENTOS HK-XS тип 13 или 1 силовой механизм AVENTOS HK-XS тип 15",IF(I17&lt;1700,"2 силовых механизма AVENTOS HK-XS тип 13 или 1 силовой механизм AVENTOS HK-XS тип 15",IF(I17&lt;3600,"2 силовых механизма AVENTOS HK-XS тип 15",IF(I17&gt;3600,"Очень тяжёлый фасад, используйте механизм AVENTOS HK",))))))))</f>
        <v>2 силовых механизма AVENTOS HK-XS тип 13 или 1 силовой механизм AVENTOS HK-XS тип 15</v>
      </c>
      <c r="K17" s="1172"/>
      <c r="L17" s="1172"/>
      <c r="M17" s="1172"/>
      <c r="N17" s="1172"/>
      <c r="O17" s="1173"/>
      <c r="P17" s="1172" t="str">
        <f t="shared" si="0"/>
        <v>2 силовых механизма AVENTOS HK-XS тип 13Т или 1 силовой механизм AVENTOS HK-XS тип 15Т</v>
      </c>
      <c r="Q17" s="1172"/>
      <c r="R17" s="1172"/>
      <c r="S17" s="1172"/>
      <c r="T17" s="1172"/>
      <c r="U17" s="1173"/>
    </row>
    <row r="18" spans="1:42" ht="23.25" customHeight="1" thickBot="1" x14ac:dyDescent="0.25">
      <c r="A18" s="1244" t="s">
        <v>542</v>
      </c>
      <c r="B18" s="1245"/>
      <c r="C18" s="1245"/>
      <c r="D18" s="1245"/>
      <c r="E18" s="1245"/>
      <c r="F18" s="1245"/>
      <c r="G18" s="1245"/>
      <c r="H18" s="1245"/>
      <c r="I18" s="1245"/>
      <c r="J18" s="1245"/>
      <c r="K18" s="1245"/>
      <c r="L18" s="1245"/>
      <c r="M18" s="1245"/>
      <c r="N18" s="1245"/>
      <c r="O18" s="1245"/>
      <c r="P18" s="1245"/>
      <c r="Q18" s="1245"/>
      <c r="R18" s="1245"/>
      <c r="S18" s="1245"/>
      <c r="T18" s="1245"/>
      <c r="U18" s="1245"/>
      <c r="AH18" s="765"/>
      <c r="AI18" s="765"/>
      <c r="AJ18" s="765"/>
      <c r="AK18" s="765"/>
      <c r="AL18" s="765"/>
      <c r="AM18" s="765"/>
      <c r="AN18" s="765"/>
      <c r="AO18" s="765"/>
    </row>
    <row r="19" spans="1:42" ht="37.5" customHeight="1" x14ac:dyDescent="0.3">
      <c r="A19" s="1220" t="s">
        <v>302</v>
      </c>
      <c r="B19" s="1221"/>
      <c r="C19" s="1221"/>
      <c r="D19" s="1221"/>
      <c r="E19" s="1221"/>
      <c r="F19" s="1221"/>
      <c r="G19" s="1221"/>
      <c r="H19" s="1221"/>
      <c r="I19" s="1221"/>
      <c r="J19" s="1221"/>
      <c r="K19" s="1221"/>
      <c r="L19" s="1069"/>
      <c r="M19" s="721"/>
      <c r="N19" s="1217" t="s">
        <v>621</v>
      </c>
      <c r="O19" s="1218"/>
      <c r="P19" s="1218"/>
      <c r="Q19" s="1219"/>
      <c r="R19" s="748"/>
      <c r="S19" s="1227" t="s">
        <v>622</v>
      </c>
      <c r="T19" s="1228"/>
      <c r="U19" s="1228"/>
      <c r="V19" s="1228"/>
      <c r="W19" s="1229"/>
      <c r="X19" s="722"/>
      <c r="AH19" s="765"/>
      <c r="AI19" s="765"/>
      <c r="AJ19" s="765"/>
      <c r="AK19" s="765"/>
      <c r="AL19" s="765"/>
      <c r="AM19" s="765"/>
      <c r="AN19" s="765"/>
      <c r="AO19" s="765"/>
    </row>
    <row r="20" spans="1:42" ht="28.5" customHeight="1" x14ac:dyDescent="0.2">
      <c r="A20" s="1183" t="s">
        <v>369</v>
      </c>
      <c r="B20" s="1184"/>
      <c r="C20" s="1184"/>
      <c r="D20" s="1184"/>
      <c r="E20" s="1184"/>
      <c r="F20" s="1184"/>
      <c r="G20" s="1184"/>
      <c r="H20" s="1184"/>
      <c r="I20" s="1184"/>
      <c r="J20" s="1184"/>
      <c r="K20" s="1184"/>
      <c r="L20" s="1184"/>
      <c r="M20" s="86"/>
      <c r="N20" s="1225" t="s">
        <v>623</v>
      </c>
      <c r="O20" s="1251"/>
      <c r="P20" s="1251"/>
      <c r="Q20" s="1252"/>
      <c r="R20" s="737"/>
      <c r="S20" s="1225" t="s">
        <v>623</v>
      </c>
      <c r="T20" s="1226"/>
      <c r="U20" s="1226"/>
      <c r="V20" s="1226"/>
      <c r="W20" s="910"/>
      <c r="X20" s="742"/>
      <c r="AG20" s="766"/>
      <c r="AH20" s="772"/>
      <c r="AI20" s="772"/>
      <c r="AJ20" s="772"/>
      <c r="AK20" s="772"/>
      <c r="AL20" s="772"/>
      <c r="AM20" s="772"/>
      <c r="AN20" s="772"/>
      <c r="AO20" s="772"/>
      <c r="AP20" s="766"/>
    </row>
    <row r="21" spans="1:42" ht="59.25" customHeight="1" x14ac:dyDescent="0.25">
      <c r="A21" s="1160" t="s">
        <v>303</v>
      </c>
      <c r="B21" s="1161"/>
      <c r="C21" s="1161"/>
      <c r="D21" s="1161"/>
      <c r="E21" s="1161"/>
      <c r="F21" s="1162"/>
      <c r="G21" s="1162"/>
      <c r="H21" s="1162"/>
      <c r="I21" s="1162"/>
      <c r="J21" s="744" t="s">
        <v>304</v>
      </c>
      <c r="K21" s="745" t="s">
        <v>299</v>
      </c>
      <c r="L21" s="745" t="s">
        <v>300</v>
      </c>
      <c r="N21" s="1204" t="s">
        <v>653</v>
      </c>
      <c r="O21" s="1205"/>
      <c r="P21" s="1206" t="s">
        <v>626</v>
      </c>
      <c r="Q21" s="1207"/>
      <c r="R21" s="732"/>
      <c r="S21" s="1222" t="s">
        <v>654</v>
      </c>
      <c r="T21" s="1223"/>
      <c r="U21" s="1224"/>
      <c r="V21" s="1206" t="s">
        <v>655</v>
      </c>
      <c r="W21" s="1230"/>
      <c r="X21" s="743"/>
      <c r="AF21" s="673"/>
      <c r="AG21" s="767"/>
      <c r="AH21" s="773" t="str">
        <f>IF(AK21=1,"0",IF(AK21=2,"9,5 "))</f>
        <v>0</v>
      </c>
      <c r="AI21" s="774" t="s">
        <v>624</v>
      </c>
      <c r="AJ21" s="772">
        <v>0</v>
      </c>
      <c r="AK21" s="772">
        <v>1</v>
      </c>
      <c r="AL21" s="772"/>
      <c r="AM21" s="772" t="str">
        <f>IF(AK21=1,"0",IF(AK21=2,"9,5 "))</f>
        <v>0</v>
      </c>
      <c r="AN21" s="772"/>
      <c r="AO21" s="772"/>
      <c r="AP21" s="766"/>
    </row>
    <row r="22" spans="1:42" ht="33" customHeight="1" x14ac:dyDescent="0.25">
      <c r="A22" s="1160" t="s">
        <v>306</v>
      </c>
      <c r="B22" s="1162"/>
      <c r="C22" s="1162"/>
      <c r="D22" s="1162"/>
      <c r="E22" s="1162"/>
      <c r="F22" s="1162"/>
      <c r="G22" s="1162"/>
      <c r="H22" s="1162"/>
      <c r="I22" s="1162"/>
      <c r="J22" s="1152">
        <v>1</v>
      </c>
      <c r="K22" s="1152"/>
      <c r="L22" s="1152"/>
      <c r="M22" s="19"/>
      <c r="N22" s="1253"/>
      <c r="O22" s="1254"/>
      <c r="P22" s="1255"/>
      <c r="Q22" s="1256"/>
      <c r="R22" s="728"/>
      <c r="S22" s="1239"/>
      <c r="T22" s="1240"/>
      <c r="U22" s="1241"/>
      <c r="V22" s="740"/>
      <c r="W22" s="749"/>
      <c r="X22" s="87"/>
      <c r="AF22" s="673"/>
      <c r="AG22" s="767"/>
      <c r="AH22" s="773">
        <f>AK26</f>
        <v>18</v>
      </c>
      <c r="AI22" s="774" t="s">
        <v>625</v>
      </c>
      <c r="AJ22" s="772">
        <v>9.5</v>
      </c>
      <c r="AK22" s="772"/>
      <c r="AL22" s="772"/>
      <c r="AM22" s="772"/>
      <c r="AN22" s="772"/>
      <c r="AO22" s="772"/>
      <c r="AP22" s="766"/>
    </row>
    <row r="23" spans="1:42" ht="30" customHeight="1" x14ac:dyDescent="0.2">
      <c r="A23" s="1160" t="s">
        <v>308</v>
      </c>
      <c r="B23" s="1161"/>
      <c r="C23" s="1161"/>
      <c r="D23" s="1161"/>
      <c r="E23" s="1161"/>
      <c r="F23" s="1158" t="s">
        <v>309</v>
      </c>
      <c r="G23" s="1158"/>
      <c r="H23" s="1158"/>
      <c r="I23" s="1158"/>
      <c r="J23" s="1152" t="s">
        <v>310</v>
      </c>
      <c r="K23" s="1152"/>
      <c r="L23" s="1152"/>
      <c r="N23" s="1257"/>
      <c r="O23" s="736"/>
      <c r="P23" s="723"/>
      <c r="Q23" s="755"/>
      <c r="R23" s="732"/>
      <c r="S23" s="760"/>
      <c r="T23" s="741"/>
      <c r="U23" s="741"/>
      <c r="V23" s="87"/>
      <c r="W23" s="750"/>
      <c r="X23" s="87"/>
      <c r="AF23" s="673"/>
      <c r="AG23" s="767"/>
      <c r="AH23" s="772"/>
      <c r="AI23" s="772"/>
      <c r="AJ23" s="772"/>
      <c r="AK23" s="772"/>
      <c r="AL23" s="772"/>
      <c r="AM23" s="772"/>
      <c r="AN23" s="772"/>
      <c r="AO23" s="772"/>
      <c r="AP23" s="766"/>
    </row>
    <row r="24" spans="1:42" ht="39" customHeight="1" x14ac:dyDescent="0.2">
      <c r="A24" s="1161"/>
      <c r="B24" s="1161"/>
      <c r="C24" s="1161"/>
      <c r="D24" s="1161"/>
      <c r="E24" s="1161"/>
      <c r="F24" s="1158" t="s">
        <v>311</v>
      </c>
      <c r="G24" s="1158"/>
      <c r="H24" s="1158"/>
      <c r="I24" s="1158"/>
      <c r="J24" s="1152" t="s">
        <v>61</v>
      </c>
      <c r="K24" s="1152"/>
      <c r="L24" s="1152"/>
      <c r="N24" s="1258"/>
      <c r="O24" s="736"/>
      <c r="P24" s="723"/>
      <c r="Q24" s="755"/>
      <c r="R24" s="732"/>
      <c r="S24" s="760"/>
      <c r="T24" s="741"/>
      <c r="U24" s="741"/>
      <c r="V24" s="87"/>
      <c r="W24" s="1237">
        <f>125.5+AL26+AM21</f>
        <v>141.5</v>
      </c>
      <c r="X24" s="87"/>
      <c r="AF24" s="673"/>
      <c r="AG24" s="767"/>
      <c r="AH24" s="772"/>
      <c r="AI24" s="772"/>
      <c r="AJ24" s="772"/>
      <c r="AK24" s="772"/>
      <c r="AL24" s="772"/>
      <c r="AM24" s="772"/>
      <c r="AN24" s="772"/>
      <c r="AO24" s="772"/>
      <c r="AP24" s="766"/>
    </row>
    <row r="25" spans="1:42" ht="41.25" customHeight="1" x14ac:dyDescent="0.2">
      <c r="A25" s="1156" t="s">
        <v>312</v>
      </c>
      <c r="B25" s="1157"/>
      <c r="C25" s="1157"/>
      <c r="D25" s="1157"/>
      <c r="E25" s="1157"/>
      <c r="F25" s="1158" t="s">
        <v>313</v>
      </c>
      <c r="G25" s="1158"/>
      <c r="H25" s="1158"/>
      <c r="I25" s="1158"/>
      <c r="J25" s="1152" t="s">
        <v>314</v>
      </c>
      <c r="K25" s="1152"/>
      <c r="L25" s="1152"/>
      <c r="M25" s="19"/>
      <c r="N25" s="768" t="s">
        <v>68</v>
      </c>
      <c r="O25" s="726"/>
      <c r="P25" s="724"/>
      <c r="Q25" s="756"/>
      <c r="R25" s="733"/>
      <c r="S25" s="760"/>
      <c r="T25" s="741"/>
      <c r="U25" s="741"/>
      <c r="V25" s="87"/>
      <c r="W25" s="1238"/>
      <c r="X25" s="94"/>
      <c r="AF25" s="673"/>
      <c r="AG25" s="767"/>
      <c r="AH25" s="772"/>
      <c r="AI25" s="772"/>
      <c r="AJ25" s="772"/>
      <c r="AK25" s="772"/>
      <c r="AL25" s="772"/>
      <c r="AM25" s="772"/>
      <c r="AN25" s="772"/>
      <c r="AO25" s="772"/>
      <c r="AP25" s="766"/>
    </row>
    <row r="26" spans="1:42" ht="68.25" customHeight="1" x14ac:dyDescent="0.35">
      <c r="A26" s="1157"/>
      <c r="B26" s="1157"/>
      <c r="C26" s="1157"/>
      <c r="D26" s="1157"/>
      <c r="E26" s="1157"/>
      <c r="F26" s="1158" t="s">
        <v>318</v>
      </c>
      <c r="G26" s="1158"/>
      <c r="H26" s="1158"/>
      <c r="I26" s="1158"/>
      <c r="J26" s="1152" t="s">
        <v>319</v>
      </c>
      <c r="K26" s="1152"/>
      <c r="L26" s="1152"/>
      <c r="N26" s="769">
        <f>137+AH21+AH22</f>
        <v>155</v>
      </c>
      <c r="O26" s="726"/>
      <c r="P26" s="724"/>
      <c r="Q26" s="756"/>
      <c r="R26" s="733"/>
      <c r="S26" s="760"/>
      <c r="T26" s="741"/>
      <c r="U26" s="741"/>
      <c r="V26" s="87"/>
      <c r="W26" s="771">
        <f>15.5+AO26</f>
        <v>31.5</v>
      </c>
      <c r="X26" s="87"/>
      <c r="AF26" s="673"/>
      <c r="AG26" s="767"/>
      <c r="AH26" s="772"/>
      <c r="AI26" s="772"/>
      <c r="AJ26" s="772" t="s">
        <v>641</v>
      </c>
      <c r="AK26" s="772">
        <v>18</v>
      </c>
      <c r="AL26" s="772">
        <v>16</v>
      </c>
      <c r="AM26" s="772" t="s">
        <v>641</v>
      </c>
      <c r="AN26" s="772" t="s">
        <v>641</v>
      </c>
      <c r="AO26" s="772">
        <v>16</v>
      </c>
      <c r="AP26" s="766"/>
    </row>
    <row r="27" spans="1:42" ht="43.5" customHeight="1" x14ac:dyDescent="0.2">
      <c r="A27" s="1148" t="s">
        <v>322</v>
      </c>
      <c r="B27" s="1159"/>
      <c r="C27" s="1159"/>
      <c r="D27" s="1159"/>
      <c r="E27" s="1159"/>
      <c r="F27" s="1159"/>
      <c r="G27" s="1159"/>
      <c r="H27" s="1159"/>
      <c r="I27" s="1159"/>
      <c r="J27" s="1152" t="s">
        <v>292</v>
      </c>
      <c r="K27" s="1152"/>
      <c r="L27" s="1152"/>
      <c r="N27" s="770" t="s">
        <v>652</v>
      </c>
      <c r="O27" s="731"/>
      <c r="P27" s="725"/>
      <c r="Q27" s="757"/>
      <c r="R27" s="734"/>
      <c r="S27" s="761"/>
      <c r="T27" s="734"/>
      <c r="U27" s="734"/>
      <c r="V27" s="87"/>
      <c r="W27" s="750"/>
      <c r="X27" s="87"/>
      <c r="AF27" s="673"/>
      <c r="AG27" s="767"/>
      <c r="AH27" s="772"/>
      <c r="AI27" s="772"/>
      <c r="AJ27" s="772" t="s">
        <v>642</v>
      </c>
      <c r="AK27" s="772"/>
      <c r="AL27" s="772"/>
      <c r="AM27" s="772" t="s">
        <v>642</v>
      </c>
      <c r="AN27" s="772" t="s">
        <v>642</v>
      </c>
      <c r="AO27" s="772"/>
      <c r="AP27" s="766"/>
    </row>
    <row r="28" spans="1:42" ht="38.25" customHeight="1" x14ac:dyDescent="0.2">
      <c r="A28" s="1150" t="s">
        <v>620</v>
      </c>
      <c r="B28" s="1151"/>
      <c r="C28" s="1151"/>
      <c r="D28" s="1151"/>
      <c r="E28" s="1151"/>
      <c r="F28" s="1151"/>
      <c r="G28" s="1151"/>
      <c r="H28" s="1151"/>
      <c r="I28" s="1151"/>
      <c r="J28" s="1151"/>
      <c r="K28" s="1151"/>
      <c r="L28" s="1099"/>
      <c r="N28" s="1242"/>
      <c r="O28" s="735"/>
      <c r="P28" s="738"/>
      <c r="Q28" s="758"/>
      <c r="R28" s="730"/>
      <c r="S28" s="762"/>
      <c r="T28" s="746"/>
      <c r="U28" s="746"/>
      <c r="V28" s="747"/>
      <c r="W28" s="764"/>
      <c r="X28" s="40"/>
      <c r="AF28" s="673"/>
      <c r="AG28" s="767"/>
      <c r="AH28" s="772"/>
      <c r="AI28" s="772"/>
      <c r="AJ28" s="772" t="s">
        <v>643</v>
      </c>
      <c r="AK28" s="772"/>
      <c r="AL28" s="772"/>
      <c r="AM28" s="772" t="s">
        <v>643</v>
      </c>
      <c r="AN28" s="772" t="s">
        <v>643</v>
      </c>
      <c r="AO28" s="772"/>
      <c r="AP28" s="766"/>
    </row>
    <row r="29" spans="1:42" ht="27.75" customHeight="1" thickBot="1" x14ac:dyDescent="0.25">
      <c r="A29" s="1160" t="s">
        <v>303</v>
      </c>
      <c r="B29" s="1161"/>
      <c r="C29" s="1161"/>
      <c r="D29" s="1161"/>
      <c r="E29" s="1161"/>
      <c r="F29" s="1162"/>
      <c r="G29" s="1162"/>
      <c r="H29" s="1162"/>
      <c r="I29" s="744" t="s">
        <v>297</v>
      </c>
      <c r="J29" s="744" t="s">
        <v>305</v>
      </c>
      <c r="K29" s="1152" t="s">
        <v>301</v>
      </c>
      <c r="L29" s="1153"/>
      <c r="N29" s="1243"/>
      <c r="O29" s="751"/>
      <c r="P29" s="752"/>
      <c r="Q29" s="759"/>
      <c r="R29" s="752"/>
      <c r="S29" s="763"/>
      <c r="T29" s="753"/>
      <c r="U29" s="752"/>
      <c r="V29" s="754"/>
      <c r="W29" s="727"/>
      <c r="X29" s="40"/>
      <c r="AF29" s="673"/>
      <c r="AG29" s="767"/>
      <c r="AH29" s="772"/>
      <c r="AI29" s="772"/>
      <c r="AJ29" s="772" t="s">
        <v>453</v>
      </c>
      <c r="AK29" s="772"/>
      <c r="AL29" s="772"/>
      <c r="AM29" s="772" t="s">
        <v>453</v>
      </c>
      <c r="AN29" s="772" t="s">
        <v>453</v>
      </c>
      <c r="AO29" s="772"/>
      <c r="AP29" s="766"/>
    </row>
    <row r="30" spans="1:42" ht="27.75" customHeight="1" x14ac:dyDescent="0.2">
      <c r="A30" s="1160" t="s">
        <v>306</v>
      </c>
      <c r="B30" s="1162"/>
      <c r="C30" s="1162"/>
      <c r="D30" s="1162"/>
      <c r="E30" s="1162"/>
      <c r="F30" s="1162"/>
      <c r="G30" s="1162"/>
      <c r="H30" s="1162"/>
      <c r="I30" s="1152" t="s">
        <v>307</v>
      </c>
      <c r="J30" s="1152"/>
      <c r="K30" s="1152"/>
      <c r="L30" s="1153"/>
      <c r="N30" s="729"/>
      <c r="O30" s="730"/>
      <c r="P30" s="730"/>
      <c r="Q30" s="730"/>
      <c r="R30" s="730"/>
      <c r="S30" s="730"/>
      <c r="T30" s="730"/>
      <c r="U30" s="730"/>
      <c r="V30" s="87"/>
      <c r="W30" s="40"/>
      <c r="X30" s="40"/>
      <c r="AF30" s="673"/>
      <c r="AG30" s="767"/>
      <c r="AH30" s="772"/>
      <c r="AI30" s="772"/>
      <c r="AJ30" s="772" t="s">
        <v>644</v>
      </c>
      <c r="AK30" s="772"/>
      <c r="AL30" s="772"/>
      <c r="AM30" s="772" t="s">
        <v>644</v>
      </c>
      <c r="AN30" s="772" t="s">
        <v>644</v>
      </c>
      <c r="AO30" s="772"/>
      <c r="AP30" s="766"/>
    </row>
    <row r="31" spans="1:42" ht="48" customHeight="1" x14ac:dyDescent="0.2">
      <c r="A31" s="1160" t="s">
        <v>308</v>
      </c>
      <c r="B31" s="1161"/>
      <c r="C31" s="1161"/>
      <c r="D31" s="1161"/>
      <c r="E31" s="1161"/>
      <c r="F31" s="1158" t="s">
        <v>309</v>
      </c>
      <c r="G31" s="1158"/>
      <c r="H31" s="1158"/>
      <c r="I31" s="1152" t="s">
        <v>310</v>
      </c>
      <c r="J31" s="1152"/>
      <c r="K31" s="1152"/>
      <c r="L31" s="1154"/>
      <c r="AF31" s="673"/>
      <c r="AG31" s="767"/>
      <c r="AH31" s="772"/>
      <c r="AI31" s="772"/>
      <c r="AJ31" s="772" t="s">
        <v>645</v>
      </c>
      <c r="AK31" s="772"/>
      <c r="AL31" s="772"/>
      <c r="AM31" s="772" t="s">
        <v>645</v>
      </c>
      <c r="AN31" s="772" t="s">
        <v>645</v>
      </c>
      <c r="AO31" s="772"/>
      <c r="AP31" s="766"/>
    </row>
    <row r="32" spans="1:42" ht="27.75" customHeight="1" x14ac:dyDescent="0.2">
      <c r="A32" s="1161"/>
      <c r="B32" s="1161"/>
      <c r="C32" s="1161"/>
      <c r="D32" s="1161"/>
      <c r="E32" s="1161"/>
      <c r="F32" s="1158" t="s">
        <v>311</v>
      </c>
      <c r="G32" s="1158"/>
      <c r="H32" s="1158"/>
      <c r="I32" s="1152" t="s">
        <v>61</v>
      </c>
      <c r="J32" s="1152"/>
      <c r="K32" s="1152"/>
      <c r="L32" s="1154"/>
      <c r="AF32" s="673"/>
      <c r="AG32" s="767"/>
      <c r="AH32" s="772"/>
      <c r="AI32" s="772"/>
      <c r="AJ32" s="772" t="s">
        <v>646</v>
      </c>
      <c r="AK32" s="772"/>
      <c r="AL32" s="772"/>
      <c r="AM32" s="772" t="s">
        <v>646</v>
      </c>
      <c r="AN32" s="772" t="s">
        <v>646</v>
      </c>
      <c r="AO32" s="772"/>
      <c r="AP32" s="766"/>
    </row>
    <row r="33" spans="1:42" ht="38.25" customHeight="1" x14ac:dyDescent="0.2">
      <c r="A33" s="1156" t="s">
        <v>315</v>
      </c>
      <c r="B33" s="1157"/>
      <c r="C33" s="1157"/>
      <c r="D33" s="1157"/>
      <c r="E33" s="1157"/>
      <c r="F33" s="1158" t="s">
        <v>316</v>
      </c>
      <c r="G33" s="1158"/>
      <c r="H33" s="1158"/>
      <c r="I33" s="1152" t="s">
        <v>317</v>
      </c>
      <c r="J33" s="1152"/>
      <c r="K33" s="1152"/>
      <c r="L33" s="1155"/>
      <c r="AF33" s="673"/>
      <c r="AG33" s="767"/>
      <c r="AH33" s="772"/>
      <c r="AI33" s="772"/>
      <c r="AJ33" s="772" t="s">
        <v>647</v>
      </c>
      <c r="AK33" s="772"/>
      <c r="AL33" s="772"/>
      <c r="AM33" s="772" t="s">
        <v>647</v>
      </c>
      <c r="AN33" s="772" t="s">
        <v>647</v>
      </c>
      <c r="AO33" s="772"/>
      <c r="AP33" s="766"/>
    </row>
    <row r="34" spans="1:42" ht="50.25" customHeight="1" x14ac:dyDescent="0.2">
      <c r="A34" s="1157"/>
      <c r="B34" s="1157"/>
      <c r="C34" s="1157"/>
      <c r="D34" s="1157"/>
      <c r="E34" s="1157"/>
      <c r="F34" s="1158" t="s">
        <v>320</v>
      </c>
      <c r="G34" s="1158"/>
      <c r="H34" s="1158"/>
      <c r="I34" s="1152" t="s">
        <v>321</v>
      </c>
      <c r="J34" s="1152"/>
      <c r="K34" s="1152"/>
      <c r="L34" s="1154"/>
      <c r="AF34" s="673"/>
      <c r="AG34" s="767"/>
      <c r="AH34" s="772"/>
      <c r="AI34" s="772"/>
      <c r="AJ34" s="772" t="s">
        <v>648</v>
      </c>
      <c r="AK34" s="772"/>
      <c r="AL34" s="772"/>
      <c r="AM34" s="772" t="s">
        <v>648</v>
      </c>
      <c r="AN34" s="772" t="s">
        <v>648</v>
      </c>
      <c r="AO34" s="772"/>
      <c r="AP34" s="766"/>
    </row>
    <row r="35" spans="1:42" ht="27.75" customHeight="1" x14ac:dyDescent="0.2">
      <c r="A35" s="1148" t="s">
        <v>323</v>
      </c>
      <c r="B35" s="1159"/>
      <c r="C35" s="1159"/>
      <c r="D35" s="1159"/>
      <c r="E35" s="1159"/>
      <c r="F35" s="1159"/>
      <c r="G35" s="1159"/>
      <c r="H35" s="1159"/>
      <c r="I35" s="1152" t="s">
        <v>292</v>
      </c>
      <c r="J35" s="1152"/>
      <c r="K35" s="1152"/>
      <c r="L35" s="1154"/>
      <c r="AF35" s="673"/>
      <c r="AG35" s="767"/>
      <c r="AH35" s="772"/>
      <c r="AI35" s="772"/>
      <c r="AJ35" s="772" t="s">
        <v>477</v>
      </c>
      <c r="AK35" s="772"/>
      <c r="AL35" s="772"/>
      <c r="AM35" s="772" t="s">
        <v>477</v>
      </c>
      <c r="AN35" s="772" t="s">
        <v>477</v>
      </c>
      <c r="AO35" s="772"/>
      <c r="AP35" s="766"/>
    </row>
    <row r="36" spans="1:42" ht="42" customHeight="1" x14ac:dyDescent="0.2">
      <c r="A36" s="1148" t="s">
        <v>401</v>
      </c>
      <c r="B36" s="1149"/>
      <c r="C36" s="1149"/>
      <c r="D36" s="1149"/>
      <c r="E36" s="1149"/>
      <c r="F36" s="1149"/>
      <c r="G36" s="1149"/>
      <c r="H36" s="1149"/>
      <c r="I36" s="1152" t="s">
        <v>324</v>
      </c>
      <c r="J36" s="1153"/>
      <c r="K36" s="1153"/>
      <c r="L36" s="1154"/>
      <c r="AF36" s="673"/>
      <c r="AG36" s="767"/>
      <c r="AH36" s="772"/>
      <c r="AI36" s="772"/>
      <c r="AJ36" s="772" t="s">
        <v>649</v>
      </c>
      <c r="AK36" s="772"/>
      <c r="AL36" s="772"/>
      <c r="AM36" s="772" t="s">
        <v>649</v>
      </c>
      <c r="AN36" s="772" t="s">
        <v>649</v>
      </c>
      <c r="AO36" s="772"/>
      <c r="AP36" s="766"/>
    </row>
    <row r="37" spans="1:42" ht="27.75" customHeight="1" x14ac:dyDescent="0.2">
      <c r="A37" s="1148" t="s">
        <v>325</v>
      </c>
      <c r="B37" s="1149"/>
      <c r="C37" s="1149"/>
      <c r="D37" s="1149"/>
      <c r="E37" s="1149"/>
      <c r="F37" s="1149"/>
      <c r="G37" s="1149"/>
      <c r="H37" s="1149"/>
      <c r="I37" s="1152" t="s">
        <v>183</v>
      </c>
      <c r="J37" s="1153"/>
      <c r="K37" s="1153"/>
      <c r="L37" s="1154"/>
      <c r="AF37" s="673"/>
      <c r="AG37" s="767"/>
      <c r="AH37" s="772"/>
      <c r="AI37" s="772"/>
      <c r="AJ37" s="772" t="s">
        <v>650</v>
      </c>
      <c r="AK37" s="772"/>
      <c r="AL37" s="772"/>
      <c r="AM37" s="772" t="s">
        <v>650</v>
      </c>
      <c r="AN37" s="772" t="s">
        <v>650</v>
      </c>
      <c r="AO37" s="772"/>
      <c r="AP37" s="766"/>
    </row>
    <row r="38" spans="1:42" ht="28.5" customHeight="1" x14ac:dyDescent="0.2">
      <c r="A38" s="1148" t="s">
        <v>326</v>
      </c>
      <c r="B38" s="1149"/>
      <c r="C38" s="1149"/>
      <c r="D38" s="1149"/>
      <c r="E38" s="1149"/>
      <c r="F38" s="1149"/>
      <c r="G38" s="1149"/>
      <c r="H38" s="1149"/>
      <c r="I38" s="1152" t="s">
        <v>327</v>
      </c>
      <c r="J38" s="1153"/>
      <c r="K38" s="1153"/>
      <c r="L38" s="1154"/>
      <c r="AF38" s="673"/>
      <c r="AG38" s="767"/>
      <c r="AH38" s="772"/>
      <c r="AI38" s="772"/>
      <c r="AJ38" s="772" t="s">
        <v>651</v>
      </c>
      <c r="AK38" s="772"/>
      <c r="AL38" s="772"/>
      <c r="AM38" s="772" t="s">
        <v>651</v>
      </c>
      <c r="AN38" s="772" t="s">
        <v>651</v>
      </c>
      <c r="AO38" s="772"/>
      <c r="AP38" s="766"/>
    </row>
    <row r="39" spans="1:42" x14ac:dyDescent="0.2">
      <c r="AF39" s="673"/>
      <c r="AG39" s="767"/>
      <c r="AH39" s="772"/>
      <c r="AI39" s="772"/>
      <c r="AJ39" s="772" t="s">
        <v>627</v>
      </c>
      <c r="AK39" s="772"/>
      <c r="AL39" s="772"/>
      <c r="AM39" s="772" t="s">
        <v>627</v>
      </c>
      <c r="AN39" s="772" t="s">
        <v>627</v>
      </c>
      <c r="AO39" s="772"/>
      <c r="AP39" s="766"/>
    </row>
    <row r="40" spans="1:42" x14ac:dyDescent="0.2">
      <c r="AF40" s="673"/>
      <c r="AG40" s="767"/>
      <c r="AH40" s="772"/>
      <c r="AI40" s="772"/>
      <c r="AJ40" s="772" t="s">
        <v>628</v>
      </c>
      <c r="AK40" s="772"/>
      <c r="AL40" s="772"/>
      <c r="AM40" s="772" t="s">
        <v>628</v>
      </c>
      <c r="AN40" s="772" t="s">
        <v>628</v>
      </c>
      <c r="AO40" s="772"/>
      <c r="AP40" s="766"/>
    </row>
    <row r="41" spans="1:42" x14ac:dyDescent="0.2">
      <c r="AF41" s="673"/>
      <c r="AG41" s="767"/>
      <c r="AH41" s="772"/>
      <c r="AI41" s="772"/>
      <c r="AJ41" s="772" t="s">
        <v>467</v>
      </c>
      <c r="AK41" s="772"/>
      <c r="AL41" s="772"/>
      <c r="AM41" s="772" t="s">
        <v>467</v>
      </c>
      <c r="AN41" s="772" t="s">
        <v>467</v>
      </c>
      <c r="AO41" s="772"/>
      <c r="AP41" s="766"/>
    </row>
    <row r="42" spans="1:42" x14ac:dyDescent="0.2">
      <c r="AF42" s="673"/>
      <c r="AG42" s="767"/>
      <c r="AH42" s="772"/>
      <c r="AI42" s="772"/>
      <c r="AJ42" s="772" t="s">
        <v>629</v>
      </c>
      <c r="AK42" s="772"/>
      <c r="AL42" s="772"/>
      <c r="AM42" s="772" t="s">
        <v>629</v>
      </c>
      <c r="AN42" s="772" t="s">
        <v>629</v>
      </c>
      <c r="AO42" s="772"/>
      <c r="AP42" s="766"/>
    </row>
    <row r="43" spans="1:42" x14ac:dyDescent="0.2">
      <c r="AF43" s="673"/>
      <c r="AG43" s="767"/>
      <c r="AH43" s="772"/>
      <c r="AI43" s="772"/>
      <c r="AJ43" s="772" t="s">
        <v>461</v>
      </c>
      <c r="AK43" s="772"/>
      <c r="AL43" s="772"/>
      <c r="AM43" s="772" t="s">
        <v>461</v>
      </c>
      <c r="AN43" s="772" t="s">
        <v>461</v>
      </c>
      <c r="AO43" s="772"/>
      <c r="AP43" s="766"/>
    </row>
    <row r="44" spans="1:42" x14ac:dyDescent="0.2">
      <c r="AF44" s="673"/>
      <c r="AG44" s="767"/>
      <c r="AH44" s="772"/>
      <c r="AI44" s="772"/>
      <c r="AJ44" s="772" t="s">
        <v>428</v>
      </c>
      <c r="AK44" s="772"/>
      <c r="AL44" s="772"/>
      <c r="AM44" s="772"/>
      <c r="AN44" s="772"/>
      <c r="AO44" s="772"/>
      <c r="AP44" s="766"/>
    </row>
    <row r="45" spans="1:42" x14ac:dyDescent="0.2">
      <c r="AF45" s="673"/>
      <c r="AG45" s="767"/>
      <c r="AH45" s="772"/>
      <c r="AI45" s="772"/>
      <c r="AJ45" s="772" t="s">
        <v>630</v>
      </c>
      <c r="AK45" s="772"/>
      <c r="AL45" s="772"/>
      <c r="AM45" s="772"/>
      <c r="AN45" s="772"/>
      <c r="AO45" s="772"/>
      <c r="AP45" s="766"/>
    </row>
    <row r="46" spans="1:42" x14ac:dyDescent="0.2">
      <c r="AF46" s="673"/>
      <c r="AG46" s="767"/>
      <c r="AH46" s="772"/>
      <c r="AI46" s="772"/>
      <c r="AJ46" s="772" t="s">
        <v>631</v>
      </c>
      <c r="AK46" s="772"/>
      <c r="AL46" s="772"/>
      <c r="AM46" s="772"/>
      <c r="AN46" s="772"/>
      <c r="AO46" s="772"/>
      <c r="AP46" s="766"/>
    </row>
    <row r="47" spans="1:42" x14ac:dyDescent="0.2">
      <c r="AF47" s="673"/>
      <c r="AG47" s="767"/>
      <c r="AH47" s="772"/>
      <c r="AI47" s="772"/>
      <c r="AJ47" s="772" t="s">
        <v>632</v>
      </c>
      <c r="AK47" s="772"/>
      <c r="AL47" s="772"/>
      <c r="AM47" s="772"/>
      <c r="AN47" s="772"/>
      <c r="AO47" s="772"/>
      <c r="AP47" s="766"/>
    </row>
    <row r="48" spans="1:42" x14ac:dyDescent="0.2">
      <c r="AF48" s="673"/>
      <c r="AG48" s="767"/>
      <c r="AH48" s="772"/>
      <c r="AI48" s="772"/>
      <c r="AJ48" s="772" t="s">
        <v>633</v>
      </c>
      <c r="AK48" s="772"/>
      <c r="AL48" s="772"/>
      <c r="AM48" s="772"/>
      <c r="AN48" s="772"/>
      <c r="AO48" s="772"/>
      <c r="AP48" s="766"/>
    </row>
    <row r="49" spans="32:42" x14ac:dyDescent="0.2">
      <c r="AF49" s="673"/>
      <c r="AG49" s="767"/>
      <c r="AH49" s="772"/>
      <c r="AI49" s="772"/>
      <c r="AJ49" s="772" t="s">
        <v>634</v>
      </c>
      <c r="AK49" s="772"/>
      <c r="AL49" s="772"/>
      <c r="AM49" s="772"/>
      <c r="AN49" s="772"/>
      <c r="AO49" s="772"/>
      <c r="AP49" s="766"/>
    </row>
    <row r="50" spans="32:42" x14ac:dyDescent="0.2">
      <c r="AF50" s="673"/>
      <c r="AG50" s="767"/>
      <c r="AH50" s="772"/>
      <c r="AI50" s="772"/>
      <c r="AJ50" s="772" t="s">
        <v>635</v>
      </c>
      <c r="AK50" s="772"/>
      <c r="AL50" s="772"/>
      <c r="AM50" s="772"/>
      <c r="AN50" s="772"/>
      <c r="AO50" s="772"/>
      <c r="AP50" s="766"/>
    </row>
    <row r="51" spans="32:42" x14ac:dyDescent="0.2">
      <c r="AF51" s="673"/>
      <c r="AG51" s="767"/>
      <c r="AH51" s="772"/>
      <c r="AI51" s="772"/>
      <c r="AJ51" s="772" t="s">
        <v>636</v>
      </c>
      <c r="AK51" s="772"/>
      <c r="AL51" s="772"/>
      <c r="AM51" s="772"/>
      <c r="AN51" s="772"/>
      <c r="AO51" s="772"/>
      <c r="AP51" s="766"/>
    </row>
    <row r="52" spans="32:42" x14ac:dyDescent="0.2">
      <c r="AF52" s="673"/>
      <c r="AG52" s="767"/>
      <c r="AH52" s="772"/>
      <c r="AI52" s="772"/>
      <c r="AJ52" s="772" t="s">
        <v>637</v>
      </c>
      <c r="AK52" s="772"/>
      <c r="AL52" s="772"/>
      <c r="AM52" s="772"/>
      <c r="AN52" s="772"/>
      <c r="AO52" s="772"/>
      <c r="AP52" s="766"/>
    </row>
    <row r="53" spans="32:42" x14ac:dyDescent="0.2">
      <c r="AF53" s="673"/>
      <c r="AG53" s="767"/>
      <c r="AH53" s="772"/>
      <c r="AI53" s="772"/>
      <c r="AJ53" s="772" t="s">
        <v>638</v>
      </c>
      <c r="AK53" s="772"/>
      <c r="AL53" s="772"/>
      <c r="AM53" s="772"/>
      <c r="AN53" s="772"/>
      <c r="AO53" s="772"/>
      <c r="AP53" s="766"/>
    </row>
    <row r="54" spans="32:42" x14ac:dyDescent="0.2">
      <c r="AF54" s="673"/>
      <c r="AG54" s="767"/>
      <c r="AH54" s="772"/>
      <c r="AI54" s="772"/>
      <c r="AJ54" s="772" t="s">
        <v>639</v>
      </c>
      <c r="AK54" s="772"/>
      <c r="AL54" s="772"/>
      <c r="AM54" s="772"/>
      <c r="AN54" s="772"/>
      <c r="AO54" s="772"/>
      <c r="AP54" s="766"/>
    </row>
    <row r="55" spans="32:42" x14ac:dyDescent="0.2">
      <c r="AF55" s="673"/>
      <c r="AG55" s="767"/>
      <c r="AH55" s="772"/>
      <c r="AI55" s="772"/>
      <c r="AJ55" s="772" t="s">
        <v>640</v>
      </c>
      <c r="AK55" s="772"/>
      <c r="AL55" s="772"/>
      <c r="AM55" s="772"/>
      <c r="AN55" s="772"/>
      <c r="AO55" s="772"/>
      <c r="AP55" s="766"/>
    </row>
    <row r="56" spans="32:42" x14ac:dyDescent="0.2">
      <c r="AF56" s="673"/>
      <c r="AG56" s="767"/>
      <c r="AH56" s="772"/>
      <c r="AI56" s="772"/>
      <c r="AJ56" s="772"/>
      <c r="AK56" s="772"/>
      <c r="AL56" s="772"/>
      <c r="AM56" s="772"/>
      <c r="AN56" s="772"/>
      <c r="AO56" s="772"/>
      <c r="AP56" s="766"/>
    </row>
    <row r="57" spans="32:42" x14ac:dyDescent="0.2">
      <c r="AF57" s="673"/>
      <c r="AG57" s="767"/>
      <c r="AH57" s="772"/>
      <c r="AI57" s="772"/>
      <c r="AJ57" s="772"/>
      <c r="AK57" s="772"/>
      <c r="AL57" s="772"/>
      <c r="AM57" s="772"/>
      <c r="AN57" s="772"/>
      <c r="AO57" s="772"/>
      <c r="AP57" s="766"/>
    </row>
    <row r="58" spans="32:42" x14ac:dyDescent="0.2">
      <c r="AF58" s="673"/>
      <c r="AG58" s="767"/>
      <c r="AH58" s="772"/>
      <c r="AI58" s="772"/>
      <c r="AJ58" s="772"/>
      <c r="AK58" s="772"/>
      <c r="AL58" s="772"/>
      <c r="AM58" s="772"/>
      <c r="AN58" s="772"/>
      <c r="AO58" s="772"/>
      <c r="AP58" s="766"/>
    </row>
    <row r="59" spans="32:42" x14ac:dyDescent="0.2">
      <c r="AH59" s="765"/>
      <c r="AI59" s="765"/>
      <c r="AJ59" s="765"/>
      <c r="AK59" s="765"/>
      <c r="AL59" s="765"/>
      <c r="AM59" s="765"/>
      <c r="AN59" s="765"/>
      <c r="AO59" s="765"/>
    </row>
  </sheetData>
  <sheetProtection algorithmName="SHA-512" hashValue="bqG6apwNpueuC1/0j/O/jVsbgWwKBTiQWHAWuLqA5FvrAe2u12dfiWooFDB4GrwUWFad1ccF2PUolJY9qqFWRQ==" saltValue="uBZlaXYUt8OWtbgfS19R7Q==" spinCount="100000" sheet="1" formatCells="0" formatColumns="0" formatRows="0" insertColumns="0" insertRows="0" insertHyperlinks="0" deleteColumns="0" deleteRows="0" sort="0" autoFilter="0" pivotTables="0"/>
  <protectedRanges>
    <protectedRange sqref="E12:G17" name="Диапазон1"/>
  </protectedRanges>
  <customSheetViews>
    <customSheetView guid="{A25B6F15-9B48-4230-9C30-183637D1319E}" scale="80" showGridLines="0" topLeftCell="A10">
      <selection activeCell="H14" sqref="H14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116">
    <mergeCell ref="W24:W25"/>
    <mergeCell ref="S22:U22"/>
    <mergeCell ref="N28:N29"/>
    <mergeCell ref="J15:O15"/>
    <mergeCell ref="P15:U15"/>
    <mergeCell ref="J16:O16"/>
    <mergeCell ref="A18:U18"/>
    <mergeCell ref="A16:D16"/>
    <mergeCell ref="A15:D15"/>
    <mergeCell ref="A27:I27"/>
    <mergeCell ref="J27:L27"/>
    <mergeCell ref="P16:U16"/>
    <mergeCell ref="A23:E24"/>
    <mergeCell ref="F24:I24"/>
    <mergeCell ref="J24:L24"/>
    <mergeCell ref="A25:E26"/>
    <mergeCell ref="F25:I25"/>
    <mergeCell ref="J25:L25"/>
    <mergeCell ref="F26:I26"/>
    <mergeCell ref="J26:L26"/>
    <mergeCell ref="N20:Q20"/>
    <mergeCell ref="N22:O22"/>
    <mergeCell ref="P22:Q22"/>
    <mergeCell ref="N23:N24"/>
    <mergeCell ref="P12:U12"/>
    <mergeCell ref="A21:I21"/>
    <mergeCell ref="N21:O21"/>
    <mergeCell ref="P21:Q21"/>
    <mergeCell ref="A14:D14"/>
    <mergeCell ref="A17:D17"/>
    <mergeCell ref="J17:O17"/>
    <mergeCell ref="P17:U17"/>
    <mergeCell ref="A6:C7"/>
    <mergeCell ref="E6:F6"/>
    <mergeCell ref="J13:O13"/>
    <mergeCell ref="P13:U13"/>
    <mergeCell ref="J14:O14"/>
    <mergeCell ref="P14:U14"/>
    <mergeCell ref="N19:Q19"/>
    <mergeCell ref="A19:L19"/>
    <mergeCell ref="S21:U21"/>
    <mergeCell ref="S20:W20"/>
    <mergeCell ref="S19:W19"/>
    <mergeCell ref="V21:W21"/>
    <mergeCell ref="A11:C11"/>
    <mergeCell ref="A12:C12"/>
    <mergeCell ref="A13:C13"/>
    <mergeCell ref="A1:U1"/>
    <mergeCell ref="A10:U10"/>
    <mergeCell ref="N6:P7"/>
    <mergeCell ref="R6:S6"/>
    <mergeCell ref="T6:U6"/>
    <mergeCell ref="R7:S7"/>
    <mergeCell ref="T7:U7"/>
    <mergeCell ref="N8:P9"/>
    <mergeCell ref="R8:S8"/>
    <mergeCell ref="T8:U8"/>
    <mergeCell ref="N2:Q3"/>
    <mergeCell ref="R2:U2"/>
    <mergeCell ref="R3:S3"/>
    <mergeCell ref="T3:U3"/>
    <mergeCell ref="N4:P5"/>
    <mergeCell ref="R4:S4"/>
    <mergeCell ref="E3:F3"/>
    <mergeCell ref="A4:C5"/>
    <mergeCell ref="A2:D3"/>
    <mergeCell ref="E2:I2"/>
    <mergeCell ref="R9:S9"/>
    <mergeCell ref="E7:F7"/>
    <mergeCell ref="T9:U9"/>
    <mergeCell ref="T4:U4"/>
    <mergeCell ref="R5:S5"/>
    <mergeCell ref="T5:U5"/>
    <mergeCell ref="E9:F9"/>
    <mergeCell ref="A8:C9"/>
    <mergeCell ref="E8:F8"/>
    <mergeCell ref="F31:H31"/>
    <mergeCell ref="F32:H32"/>
    <mergeCell ref="J12:O12"/>
    <mergeCell ref="G3:I3"/>
    <mergeCell ref="G4:I4"/>
    <mergeCell ref="G5:I5"/>
    <mergeCell ref="G6:I6"/>
    <mergeCell ref="G7:I7"/>
    <mergeCell ref="G8:I8"/>
    <mergeCell ref="G9:I9"/>
    <mergeCell ref="E4:F4"/>
    <mergeCell ref="E5:F5"/>
    <mergeCell ref="A22:I22"/>
    <mergeCell ref="J22:L22"/>
    <mergeCell ref="F23:I23"/>
    <mergeCell ref="J23:L23"/>
    <mergeCell ref="A20:L20"/>
    <mergeCell ref="J11:O11"/>
    <mergeCell ref="P11:U11"/>
    <mergeCell ref="A37:H37"/>
    <mergeCell ref="A38:H38"/>
    <mergeCell ref="A28:L28"/>
    <mergeCell ref="K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A33:E34"/>
    <mergeCell ref="F33:H33"/>
    <mergeCell ref="F34:H34"/>
    <mergeCell ref="A35:H35"/>
    <mergeCell ref="A36:H36"/>
    <mergeCell ref="A29:H29"/>
    <mergeCell ref="A30:H30"/>
    <mergeCell ref="A31:E32"/>
  </mergeCells>
  <phoneticPr fontId="4" type="noConversion"/>
  <conditionalFormatting sqref="J12:O16">
    <cfRule type="containsText" dxfId="100" priority="16" stopIfTrue="1" operator="containsText" text="Очень">
      <formula>NOT(ISERROR(SEARCH("Очень",J12)))</formula>
    </cfRule>
  </conditionalFormatting>
  <conditionalFormatting sqref="P12:U16">
    <cfRule type="containsText" dxfId="99" priority="15" stopIfTrue="1" operator="containsText" text="Очень">
      <formula>NOT(ISERROR(SEARCH("Очень",P12)))</formula>
    </cfRule>
  </conditionalFormatting>
  <conditionalFormatting sqref="P12:U12">
    <cfRule type="containsText" dxfId="98" priority="11" operator="containsText" text="Уменьшите высоту фасада">
      <formula>NOT(ISERROR(SEARCH("Уменьшите высоту фасада",P12)))</formula>
    </cfRule>
    <cfRule type="containsText" dxfId="97" priority="14" operator="containsText" text="Увеличьте высоту фасада">
      <formula>NOT(ISERROR(SEARCH("Увеличьте высоту фасада",P12)))</formula>
    </cfRule>
  </conditionalFormatting>
  <conditionalFormatting sqref="J12:O12">
    <cfRule type="containsText" dxfId="96" priority="12" operator="containsText" text="Уменьшите высоту фасада">
      <formula>NOT(ISERROR(SEARCH("Уменьшите высоту фасада",J12)))</formula>
    </cfRule>
    <cfRule type="containsText" dxfId="95" priority="13" operator="containsText" text="Увеличьте высоту фасада">
      <formula>NOT(ISERROR(SEARCH("Увеличьте высоту фасада",J12)))</formula>
    </cfRule>
  </conditionalFormatting>
  <conditionalFormatting sqref="J13:O16">
    <cfRule type="containsText" dxfId="94" priority="9" operator="containsText" text="Уменьшите высоту фасада">
      <formula>NOT(ISERROR(SEARCH("Уменьшите высоту фасада",J13)))</formula>
    </cfRule>
    <cfRule type="containsText" dxfId="93" priority="10" operator="containsText" text="Увеличьте высоту фасада">
      <formula>NOT(ISERROR(SEARCH("Увеличьте высоту фасада",J13)))</formula>
    </cfRule>
  </conditionalFormatting>
  <conditionalFormatting sqref="P13:U16">
    <cfRule type="containsText" dxfId="92" priority="7" operator="containsText" text="Уменьшите высоту фасада">
      <formula>NOT(ISERROR(SEARCH("Уменьшите высоту фасада",P13)))</formula>
    </cfRule>
    <cfRule type="containsText" dxfId="91" priority="8" operator="containsText" text="Увеличьте высоту фасада">
      <formula>NOT(ISERROR(SEARCH("Увеличьте высоту фасада",P13)))</formula>
    </cfRule>
  </conditionalFormatting>
  <conditionalFormatting sqref="P17:U17">
    <cfRule type="containsText" dxfId="90" priority="1" operator="containsText" text="Уменьшите высоту фасада">
      <formula>NOT(ISERROR(SEARCH("Уменьшите высоту фасада",P17)))</formula>
    </cfRule>
    <cfRule type="containsText" dxfId="89" priority="2" operator="containsText" text="Увеличьте высоту фасада">
      <formula>NOT(ISERROR(SEARCH("Увеличьте высоту фасада",P17)))</formula>
    </cfRule>
  </conditionalFormatting>
  <conditionalFormatting sqref="J17:O17">
    <cfRule type="containsText" dxfId="88" priority="6" stopIfTrue="1" operator="containsText" text="Очень">
      <formula>NOT(ISERROR(SEARCH("Очень",J17)))</formula>
    </cfRule>
  </conditionalFormatting>
  <conditionalFormatting sqref="P17:U17">
    <cfRule type="containsText" dxfId="87" priority="5" stopIfTrue="1" operator="containsText" text="Очень">
      <formula>NOT(ISERROR(SEARCH("Очень",P17)))</formula>
    </cfRule>
  </conditionalFormatting>
  <conditionalFormatting sqref="J17:O17">
    <cfRule type="containsText" dxfId="86" priority="3" operator="containsText" text="Уменьшите высоту фасада">
      <formula>NOT(ISERROR(SEARCH("Уменьшите высоту фасада",J17)))</formula>
    </cfRule>
    <cfRule type="containsText" dxfId="85" priority="4" operator="containsText" text="Увеличьте высоту фасада">
      <formula>NOT(ISERROR(SEARCH("Увеличьте высоту фасада",J17)))</formula>
    </cfRule>
  </conditionalFormatting>
  <hyperlinks>
    <hyperlink ref="V1" location="Содержание!R1C1" display="← СОДЕРЖАНИЕ:" xr:uid="{00000000-0004-0000-0C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39" r:id="rId5" name="Drop Down 31">
              <controlPr defaultSize="0" autoLine="0" autoPict="0" altText="">
                <anchor moveWithCells="1">
                  <from>
                    <xdr:col>13</xdr:col>
                    <xdr:colOff>0</xdr:colOff>
                    <xdr:row>21</xdr:row>
                    <xdr:rowOff>9525</xdr:rowOff>
                  </from>
                  <to>
                    <xdr:col>15</xdr:col>
                    <xdr:colOff>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6" name="Drop Down 34">
              <controlPr locked="0" defaultSize="0" autoLine="0" autoPict="0">
                <anchor moveWithCells="1">
                  <from>
                    <xdr:col>14</xdr:col>
                    <xdr:colOff>762000</xdr:colOff>
                    <xdr:row>21</xdr:row>
                    <xdr:rowOff>0</xdr:rowOff>
                  </from>
                  <to>
                    <xdr:col>16</xdr:col>
                    <xdr:colOff>876300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7" name="Drop Down 40">
              <controlPr locked="0" defaultSize="0" autoLine="0" autoPict="0">
                <anchor moveWithCells="1">
                  <from>
                    <xdr:col>17</xdr:col>
                    <xdr:colOff>542925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8" name="Drop Down 42">
              <controlPr locked="0" defaultSize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666750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H1:W53"/>
  <sheetViews>
    <sheetView showGridLines="0" topLeftCell="H22" zoomScaleNormal="100" workbookViewId="0">
      <selection activeCell="Y23" sqref="Y23"/>
    </sheetView>
  </sheetViews>
  <sheetFormatPr defaultRowHeight="12.75" x14ac:dyDescent="0.2"/>
  <cols>
    <col min="22" max="22" width="10" customWidth="1"/>
    <col min="23" max="23" width="19.7109375" customWidth="1"/>
    <col min="25" max="25" width="20" customWidth="1"/>
  </cols>
  <sheetData>
    <row r="1" spans="19:23" ht="40.5" customHeight="1" thickBot="1" x14ac:dyDescent="0.25">
      <c r="S1" s="700"/>
      <c r="T1" s="700"/>
      <c r="U1" s="700"/>
      <c r="V1" s="700"/>
      <c r="W1" s="435" t="s">
        <v>544</v>
      </c>
    </row>
    <row r="53" spans="8:20" ht="16.5" customHeight="1" x14ac:dyDescent="0.2">
      <c r="H53" s="1259" t="s">
        <v>656</v>
      </c>
      <c r="I53" s="1260"/>
      <c r="J53" s="1260"/>
      <c r="K53" s="1260"/>
      <c r="L53" s="1260"/>
      <c r="M53" s="1260"/>
      <c r="N53" s="1260"/>
      <c r="O53" s="1260"/>
      <c r="P53" s="1260"/>
      <c r="Q53" s="1260"/>
      <c r="R53" s="1260"/>
      <c r="S53" s="1260"/>
      <c r="T53" s="1260"/>
    </row>
  </sheetData>
  <sheetProtection password="CF68" sheet="1" formatCells="0" formatColumns="0" formatRows="0" insertColumns="0" insertRows="0" insertHyperlinks="0" deleteColumns="0" deleteRows="0" sort="0" autoFilter="0" pivotTables="0"/>
  <customSheetViews>
    <customSheetView guid="{A25B6F15-9B48-4230-9C30-183637D1319E}" showGridLines="0" topLeftCell="A91">
      <selection activeCell="K4" sqref="K4"/>
      <pageMargins left="0.7" right="0.7" top="0.75" bottom="0.75" header="0.3" footer="0.3"/>
    </customSheetView>
  </customSheetViews>
  <mergeCells count="1">
    <mergeCell ref="H53:T53"/>
  </mergeCells>
  <hyperlinks>
    <hyperlink ref="W1" location="Содержание!R1C1" display="← СОДЕРЖАНИЕ:" xr:uid="{00000000-0004-0000-0D00-000000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F46"/>
  <sheetViews>
    <sheetView showGridLines="0" zoomScale="86" zoomScaleNormal="86" workbookViewId="0">
      <selection activeCell="AL1" sqref="AL1"/>
    </sheetView>
  </sheetViews>
  <sheetFormatPr defaultRowHeight="15" x14ac:dyDescent="0.25"/>
  <cols>
    <col min="1" max="1" width="3.28515625" style="245" customWidth="1"/>
    <col min="2" max="2" width="33" style="245" customWidth="1"/>
    <col min="3" max="4" width="10.7109375" style="245" customWidth="1"/>
    <col min="5" max="5" width="11.140625" style="245" customWidth="1"/>
    <col min="6" max="7" width="2" style="245" customWidth="1"/>
    <col min="8" max="8" width="28.5703125" style="245" customWidth="1"/>
    <col min="9" max="10" width="2" style="245" customWidth="1"/>
    <col min="11" max="11" width="4.7109375" style="245" customWidth="1"/>
    <col min="12" max="12" width="4" style="245" customWidth="1"/>
    <col min="13" max="30" width="2" style="245" customWidth="1"/>
    <col min="31" max="31" width="3.140625" style="245" customWidth="1"/>
    <col min="32" max="34" width="2" style="245" customWidth="1"/>
    <col min="35" max="35" width="2.42578125" style="245" customWidth="1"/>
    <col min="36" max="36" width="2" style="245" customWidth="1"/>
    <col min="37" max="37" width="3.7109375" style="245" customWidth="1"/>
    <col min="38" max="38" width="20.85546875" style="245" customWidth="1"/>
    <col min="39" max="39" width="18.42578125" style="245" customWidth="1"/>
    <col min="40" max="40" width="9.140625" style="245" customWidth="1"/>
    <col min="41" max="41" width="21.140625" style="245" hidden="1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3" width="12.42578125" style="245" hidden="1" customWidth="1"/>
    <col min="54" max="55" width="14.85546875" style="245" hidden="1" customWidth="1"/>
    <col min="56" max="57" width="0" style="245" hidden="1" customWidth="1"/>
    <col min="58" max="16384" width="9.140625" style="245"/>
  </cols>
  <sheetData>
    <row r="1" spans="1:58" ht="52.5" customHeight="1" thickBot="1" x14ac:dyDescent="0.3">
      <c r="A1" s="1311" t="s">
        <v>523</v>
      </c>
      <c r="B1" s="1312"/>
      <c r="C1" s="1312"/>
      <c r="D1" s="1312"/>
      <c r="E1" s="1312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3"/>
      <c r="V1" s="1313"/>
      <c r="W1" s="1313"/>
      <c r="X1" s="1313"/>
      <c r="Y1" s="1313"/>
      <c r="Z1" s="1313"/>
      <c r="AA1" s="1313"/>
      <c r="AB1" s="1313"/>
      <c r="AC1" s="1313"/>
      <c r="AD1" s="1313"/>
      <c r="AE1" s="1313"/>
      <c r="AF1" s="1313"/>
      <c r="AG1" s="1313"/>
      <c r="AH1" s="1313"/>
      <c r="AI1" s="1313"/>
      <c r="AJ1" s="1313"/>
      <c r="AK1" s="1314"/>
      <c r="AL1" s="461" t="s">
        <v>544</v>
      </c>
      <c r="AN1" s="311"/>
      <c r="AO1" s="312" t="s">
        <v>490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  <c r="BA1" s="310" t="s">
        <v>483</v>
      </c>
      <c r="BB1" s="306" t="s">
        <v>482</v>
      </c>
      <c r="BC1" s="306" t="s">
        <v>481</v>
      </c>
      <c r="BD1" s="306" t="s">
        <v>480</v>
      </c>
      <c r="BE1" s="306" t="s">
        <v>456</v>
      </c>
    </row>
    <row r="2" spans="1:58" ht="21.75" customHeight="1" x14ac:dyDescent="0.25">
      <c r="A2" s="302"/>
      <c r="B2" s="301"/>
      <c r="C2" s="301"/>
      <c r="D2" s="301"/>
      <c r="E2" s="301"/>
      <c r="AK2" s="300"/>
      <c r="AN2" s="247"/>
      <c r="AO2" s="299" t="s">
        <v>479</v>
      </c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3</v>
      </c>
      <c r="BA2" s="306" t="s">
        <v>470</v>
      </c>
      <c r="BB2" s="306">
        <v>1.6890000000000001</v>
      </c>
      <c r="BC2" s="306">
        <v>1.829</v>
      </c>
      <c r="BD2" s="306">
        <f>63*(C19-38)/1000000</f>
        <v>3.5406E-2</v>
      </c>
      <c r="BE2" s="306">
        <f>(C18-10)*(C19-35)/1000000</f>
        <v>0.27684999999999998</v>
      </c>
    </row>
    <row r="3" spans="1:58" ht="14.25" customHeight="1" x14ac:dyDescent="0.25">
      <c r="A3" s="302"/>
      <c r="B3" s="301"/>
      <c r="C3" s="301"/>
      <c r="D3" s="301"/>
      <c r="E3" s="301"/>
      <c r="AK3" s="300"/>
      <c r="AN3" s="247"/>
      <c r="AO3" s="299" t="s">
        <v>469</v>
      </c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465</v>
      </c>
      <c r="AV3" s="306">
        <v>1</v>
      </c>
      <c r="AW3" s="306">
        <f>IF(C18=AP6,BB9,BC9)</f>
        <v>1.829</v>
      </c>
      <c r="AX3" s="306">
        <v>1</v>
      </c>
      <c r="AY3" s="306">
        <f>AV3*AW3*AX3</f>
        <v>1.829</v>
      </c>
      <c r="BA3" s="306" t="s">
        <v>464</v>
      </c>
      <c r="BB3" s="306">
        <v>1.417</v>
      </c>
      <c r="BC3" s="306">
        <v>1.53</v>
      </c>
      <c r="BD3" s="306">
        <f>39*(C19-38)/1000000</f>
        <v>2.1918E-2</v>
      </c>
      <c r="BE3" s="306">
        <f>(C18-10)*(C19-35)/1000000</f>
        <v>0.27684999999999998</v>
      </c>
    </row>
    <row r="4" spans="1:58" ht="14.25" customHeight="1" x14ac:dyDescent="0.25">
      <c r="A4" s="302"/>
      <c r="B4" s="301"/>
      <c r="C4" s="301"/>
      <c r="D4" s="301"/>
      <c r="E4" s="301"/>
      <c r="AK4" s="300"/>
      <c r="AN4" s="247"/>
      <c r="AO4" s="299" t="s">
        <v>463</v>
      </c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460</v>
      </c>
      <c r="AV4" s="306">
        <f>BD9</f>
        <v>3.5406E-2</v>
      </c>
      <c r="AW4" s="306">
        <f>AR2</f>
        <v>680</v>
      </c>
      <c r="AX4" s="306">
        <v>16</v>
      </c>
      <c r="AY4" s="306">
        <f>AV4*AW4*AX4/1000</f>
        <v>0.38521728</v>
      </c>
      <c r="BA4" s="306" t="s">
        <v>459</v>
      </c>
      <c r="BB4" s="306">
        <v>2.17</v>
      </c>
      <c r="BC4" s="306">
        <v>2.3359999999999999</v>
      </c>
      <c r="BD4" s="306">
        <f>101*(C19-38)/1000000</f>
        <v>5.6762E-2</v>
      </c>
      <c r="BE4" s="306">
        <f>(C18-10)*(C19-35)/1000000</f>
        <v>0.27684999999999998</v>
      </c>
    </row>
    <row r="5" spans="1:58" ht="14.25" customHeight="1" x14ac:dyDescent="0.25">
      <c r="A5" s="302"/>
      <c r="B5" s="301"/>
      <c r="C5" s="301"/>
      <c r="D5" s="301"/>
      <c r="E5" s="301"/>
      <c r="AK5" s="300"/>
      <c r="AN5" s="247"/>
      <c r="AO5" s="299" t="s">
        <v>458</v>
      </c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456</v>
      </c>
      <c r="AV5" s="306">
        <f>BE9</f>
        <v>0.27684999999999998</v>
      </c>
      <c r="AW5" s="306">
        <f>AR2</f>
        <v>680</v>
      </c>
      <c r="AX5" s="306">
        <v>16</v>
      </c>
      <c r="AY5" s="306">
        <f>AV5*AW5*AX5/1000</f>
        <v>3.0121279999999997</v>
      </c>
      <c r="BA5" s="306" t="s">
        <v>455</v>
      </c>
      <c r="BB5" s="306">
        <v>2.6259999999999999</v>
      </c>
      <c r="BC5" s="306">
        <v>2.871</v>
      </c>
      <c r="BD5" s="306">
        <f>148*(C19-38)/1000000</f>
        <v>8.3176E-2</v>
      </c>
      <c r="BE5" s="306">
        <f>(C18-10)*(C19-35)/1000000</f>
        <v>0.27684999999999998</v>
      </c>
    </row>
    <row r="6" spans="1:58" ht="14.25" customHeight="1" x14ac:dyDescent="0.25">
      <c r="A6" s="302"/>
      <c r="B6" s="301"/>
      <c r="C6" s="301"/>
      <c r="D6" s="301"/>
      <c r="E6" s="301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4"/>
      <c r="AL6" s="303"/>
      <c r="AN6" s="247"/>
      <c r="AO6" s="299" t="s">
        <v>454</v>
      </c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452</v>
      </c>
      <c r="AV6" s="306">
        <f>C23*C24/1000000</f>
        <v>0</v>
      </c>
      <c r="AW6" s="306">
        <f>IF(C22=AQ2,AR2,IF(C22=AQ3,AR3,IF(C22=AQ4,AR4,IF(C22=AQ5,AR5,IF(C22=AQ6,AR6,IF(C22=AQ7,AR7,0))))))</f>
        <v>760</v>
      </c>
      <c r="AX6" s="306">
        <f>IF(D22=AS2,10,IF(D22=AS3,16,IF(D22=AS4,18,IF(D22=AS5,19,IF(D22=AS6,4,0)))))</f>
        <v>19</v>
      </c>
      <c r="AY6" s="306">
        <f>AV6*AW6*AX6/1000</f>
        <v>0</v>
      </c>
      <c r="BA6" s="306" t="s">
        <v>451</v>
      </c>
      <c r="BB6" s="306">
        <v>3.411</v>
      </c>
      <c r="BC6" s="306">
        <v>3.673</v>
      </c>
      <c r="BD6" s="306">
        <f>212*(C19-38)/1000000</f>
        <v>0.119144</v>
      </c>
      <c r="BE6" s="306">
        <f>(C18-10)*(C19-35)/1000000</f>
        <v>0.27684999999999998</v>
      </c>
    </row>
    <row r="7" spans="1:58" ht="14.25" customHeight="1" x14ac:dyDescent="0.25">
      <c r="A7" s="302"/>
      <c r="B7" s="301"/>
      <c r="C7" s="301"/>
      <c r="D7" s="301"/>
      <c r="E7" s="301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8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4"/>
      <c r="AL7" s="303"/>
      <c r="AO7" s="299" t="s">
        <v>450</v>
      </c>
      <c r="AP7" s="299">
        <v>500</v>
      </c>
      <c r="AQ7" s="299" t="s">
        <v>449</v>
      </c>
      <c r="AR7" s="299">
        <v>900</v>
      </c>
      <c r="AS7" s="306"/>
      <c r="AY7" s="305">
        <f>SUM(AY3:AY6)</f>
        <v>5.2263452799999994</v>
      </c>
      <c r="BA7" s="306" t="s">
        <v>448</v>
      </c>
      <c r="BB7" s="306">
        <f>2.027+(0.796/1043*(C19-126))</f>
        <v>2.3887488015340366</v>
      </c>
      <c r="BC7" s="306">
        <f>2.167+(0.796/1043*(C19-126))</f>
        <v>2.5287488015340363</v>
      </c>
      <c r="BD7" s="306">
        <f>63*(C19-38)/1000000</f>
        <v>3.5406E-2</v>
      </c>
      <c r="BE7" s="306">
        <f>(C18-10)*(C19-35)/1000000</f>
        <v>0.27684999999999998</v>
      </c>
    </row>
    <row r="8" spans="1:58" ht="14.25" customHeight="1" x14ac:dyDescent="0.25">
      <c r="A8" s="302"/>
      <c r="B8" s="301"/>
      <c r="C8" s="301"/>
      <c r="D8" s="301"/>
      <c r="E8" s="301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4"/>
      <c r="AL8" s="303"/>
      <c r="AO8" s="299" t="s">
        <v>447</v>
      </c>
      <c r="AP8" s="299">
        <v>550</v>
      </c>
      <c r="AQ8" s="247"/>
      <c r="AR8" s="247"/>
      <c r="AY8" s="307"/>
      <c r="BA8" s="306" t="s">
        <v>446</v>
      </c>
      <c r="BB8" s="306">
        <f>3.102+(0.796/1043*(C19-126))+(0.344/1080*(C19-90))</f>
        <v>3.6261932459784809</v>
      </c>
      <c r="BC8" s="306">
        <f>3.347+(0.796/1043*(C19-126))+(0.344/1080*(C19-90))</f>
        <v>3.871193245978481</v>
      </c>
      <c r="BD8" s="306">
        <f>148*(C19-38)/1000000</f>
        <v>8.3176E-2</v>
      </c>
      <c r="BE8" s="306">
        <f>(C18-10)*(C19-35)/1000000</f>
        <v>0.27684999999999998</v>
      </c>
    </row>
    <row r="9" spans="1:58" ht="14.25" customHeight="1" x14ac:dyDescent="0.25">
      <c r="A9" s="302"/>
      <c r="B9" s="301"/>
      <c r="C9" s="301"/>
      <c r="D9" s="301"/>
      <c r="E9" s="301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4"/>
      <c r="AL9" s="303"/>
      <c r="AP9" s="299">
        <v>600</v>
      </c>
      <c r="AQ9" s="247"/>
      <c r="AR9" s="247"/>
      <c r="BA9" s="306" t="s">
        <v>445</v>
      </c>
      <c r="BB9" s="305">
        <f>IF(C17=AO2,BB3,IF(C17=AO3,BB2,IF(C17=AO4,BB4,IF(C17=AO5,BB5,IF(C17=AO6,BB6,IF(C17=AO7,BB7,IF(C17=AO8,BB8,0)))))))</f>
        <v>1.6890000000000001</v>
      </c>
      <c r="BC9" s="305">
        <f>IF(C17=AO2,BC3,IF(C17=AO3,BC2,IF(C17=AO4,BC4,IF(C17=AO5,BC5,IF(C17=AO6,BC6,IF(C17=AO7,BC7,IF(C17=AO8,BC8,0)))))))</f>
        <v>1.829</v>
      </c>
      <c r="BD9" s="305">
        <f>IF(C17=AO2,BD3,IF(C17=AO3,BD2,IF(C17=AO4,BD4,IF(C17=AO5,BD5,IF(C17=AO6,BD6,IF(C17=AO7,BD7,IF(C17=AO8,BD8,0)))))))</f>
        <v>3.5406E-2</v>
      </c>
      <c r="BE9" s="305">
        <f>(C18-10)*(C19-35)/1000000</f>
        <v>0.27684999999999998</v>
      </c>
    </row>
    <row r="10" spans="1:58" ht="14.25" customHeight="1" x14ac:dyDescent="0.25">
      <c r="A10" s="302"/>
      <c r="B10" s="301"/>
      <c r="C10" s="301"/>
      <c r="D10" s="301"/>
      <c r="E10" s="301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4"/>
      <c r="AL10" s="303"/>
      <c r="AP10" s="299">
        <v>650</v>
      </c>
      <c r="AQ10" s="247"/>
      <c r="AR10" s="247"/>
    </row>
    <row r="11" spans="1:58" ht="14.25" customHeight="1" x14ac:dyDescent="0.25">
      <c r="A11" s="302"/>
      <c r="B11" s="301"/>
      <c r="C11" s="301"/>
      <c r="D11" s="301"/>
      <c r="E11" s="301"/>
      <c r="AK11" s="300"/>
      <c r="AP11" s="299">
        <v>700</v>
      </c>
      <c r="AQ11" s="247"/>
      <c r="AR11" s="247"/>
      <c r="BF11" s="90"/>
    </row>
    <row r="12" spans="1:58" ht="12.75" customHeight="1" x14ac:dyDescent="0.25">
      <c r="A12" s="1316" t="s">
        <v>444</v>
      </c>
      <c r="B12" s="1317"/>
      <c r="C12" s="1317"/>
      <c r="D12" s="1317"/>
      <c r="E12" s="1317"/>
      <c r="F12" s="1317"/>
      <c r="G12" s="1317"/>
      <c r="H12" s="1317"/>
      <c r="I12" s="1317"/>
      <c r="J12" s="1317"/>
      <c r="K12" s="1317"/>
      <c r="L12" s="1317"/>
      <c r="M12" s="1317"/>
      <c r="N12" s="1317"/>
      <c r="O12" s="1317"/>
      <c r="P12" s="1317"/>
      <c r="Q12" s="1317"/>
      <c r="R12" s="1317"/>
      <c r="S12" s="1317"/>
      <c r="T12" s="1317"/>
      <c r="U12" s="1317"/>
      <c r="V12" s="1317"/>
      <c r="W12" s="1317"/>
      <c r="X12" s="1317"/>
      <c r="Y12" s="1317"/>
      <c r="Z12" s="1317"/>
      <c r="AA12" s="1317"/>
      <c r="AB12" s="1317"/>
      <c r="AC12" s="1317"/>
      <c r="AD12" s="1317"/>
      <c r="AE12" s="1317"/>
      <c r="AF12" s="1317"/>
      <c r="AG12" s="1317"/>
      <c r="AH12" s="1317"/>
      <c r="AI12" s="1317"/>
      <c r="AJ12" s="1317"/>
      <c r="AK12" s="1318"/>
      <c r="AP12" s="299">
        <v>750</v>
      </c>
      <c r="AQ12" s="247"/>
      <c r="AR12" s="247"/>
    </row>
    <row r="13" spans="1:58" ht="13.5" customHeight="1" x14ac:dyDescent="0.25">
      <c r="A13" s="298" t="s">
        <v>443</v>
      </c>
      <c r="B13" s="295"/>
      <c r="C13" s="295"/>
      <c r="D13" s="295"/>
      <c r="E13" s="295"/>
      <c r="F13" s="297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2"/>
      <c r="AP13" s="247"/>
      <c r="AQ13" s="247"/>
      <c r="AR13" s="247"/>
    </row>
    <row r="14" spans="1:58" ht="12" customHeight="1" x14ac:dyDescent="0.25">
      <c r="A14" s="296" t="s">
        <v>442</v>
      </c>
      <c r="B14" s="295"/>
      <c r="C14" s="295"/>
      <c r="D14" s="295"/>
      <c r="E14" s="295"/>
      <c r="F14" s="294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2"/>
      <c r="AP14" s="247"/>
      <c r="AQ14" s="247"/>
      <c r="AR14" s="247"/>
    </row>
    <row r="15" spans="1:58" ht="15" customHeight="1" x14ac:dyDescent="0.25">
      <c r="A15" s="369"/>
      <c r="B15" s="1271" t="s">
        <v>441</v>
      </c>
      <c r="C15" s="1271"/>
      <c r="D15" s="1271"/>
      <c r="E15" s="284"/>
      <c r="F15" s="284"/>
      <c r="G15" s="284"/>
      <c r="H15" s="284"/>
      <c r="I15" s="284"/>
      <c r="J15" s="284"/>
      <c r="K15" s="284"/>
      <c r="L15" s="291"/>
      <c r="M15" s="1319" t="s">
        <v>440</v>
      </c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19"/>
      <c r="AA15" s="1319"/>
      <c r="AB15" s="1319"/>
      <c r="AC15" s="1319"/>
      <c r="AD15" s="1319"/>
      <c r="AE15" s="1319"/>
      <c r="AF15" s="1319"/>
      <c r="AG15" s="1319"/>
      <c r="AH15" s="1319"/>
      <c r="AI15" s="1319"/>
      <c r="AJ15" s="1319"/>
      <c r="AK15" s="256"/>
      <c r="AP15" s="247"/>
      <c r="AQ15" s="247"/>
      <c r="AR15" s="247"/>
    </row>
    <row r="16" spans="1:58" ht="18.75" customHeight="1" x14ac:dyDescent="0.25">
      <c r="A16" s="369"/>
      <c r="B16" s="1271"/>
      <c r="C16" s="1271"/>
      <c r="D16" s="1271"/>
      <c r="E16" s="284"/>
      <c r="F16" s="248"/>
      <c r="G16" s="279"/>
      <c r="H16" s="278"/>
      <c r="I16" s="376"/>
      <c r="J16" s="284"/>
      <c r="K16" s="284"/>
      <c r="L16" s="291"/>
      <c r="M16" s="1319"/>
      <c r="N16" s="1319"/>
      <c r="O16" s="1319"/>
      <c r="P16" s="1319"/>
      <c r="Q16" s="1319"/>
      <c r="R16" s="1319"/>
      <c r="S16" s="1319"/>
      <c r="T16" s="1319"/>
      <c r="U16" s="1319"/>
      <c r="V16" s="1319"/>
      <c r="W16" s="1319"/>
      <c r="X16" s="1319"/>
      <c r="Y16" s="1319"/>
      <c r="Z16" s="1319"/>
      <c r="AA16" s="1319"/>
      <c r="AB16" s="1319"/>
      <c r="AC16" s="1319"/>
      <c r="AD16" s="1319"/>
      <c r="AE16" s="1319"/>
      <c r="AF16" s="1319"/>
      <c r="AG16" s="1319"/>
      <c r="AH16" s="1319"/>
      <c r="AI16" s="1319"/>
      <c r="AJ16" s="1319"/>
      <c r="AK16" s="256"/>
      <c r="AP16" s="247"/>
      <c r="AQ16" s="247"/>
      <c r="AR16" s="247"/>
    </row>
    <row r="17" spans="1:44" ht="18.75" customHeight="1" x14ac:dyDescent="0.25">
      <c r="A17" s="369"/>
      <c r="B17" s="277" t="s">
        <v>439</v>
      </c>
      <c r="C17" s="1320" t="s">
        <v>521</v>
      </c>
      <c r="D17" s="1320"/>
      <c r="E17" s="257"/>
      <c r="F17" s="249"/>
      <c r="G17" s="279"/>
      <c r="H17" s="253"/>
      <c r="I17" s="376"/>
      <c r="J17" s="257"/>
      <c r="K17" s="257"/>
      <c r="L17" s="291"/>
      <c r="M17" s="1319"/>
      <c r="N17" s="1319"/>
      <c r="O17" s="1319"/>
      <c r="P17" s="1319"/>
      <c r="Q17" s="1319"/>
      <c r="R17" s="1319"/>
      <c r="S17" s="1319"/>
      <c r="T17" s="1319"/>
      <c r="U17" s="1319"/>
      <c r="V17" s="1319"/>
      <c r="W17" s="1319"/>
      <c r="X17" s="1319"/>
      <c r="Y17" s="1319"/>
      <c r="Z17" s="1319"/>
      <c r="AA17" s="1319"/>
      <c r="AB17" s="1319"/>
      <c r="AC17" s="1319"/>
      <c r="AD17" s="1319"/>
      <c r="AE17" s="1319"/>
      <c r="AF17" s="1319"/>
      <c r="AG17" s="1319"/>
      <c r="AH17" s="1319"/>
      <c r="AI17" s="1319"/>
      <c r="AJ17" s="1319"/>
      <c r="AK17" s="256"/>
      <c r="AP17" s="247"/>
      <c r="AQ17" s="247"/>
      <c r="AR17" s="247"/>
    </row>
    <row r="18" spans="1:44" ht="18.75" customHeight="1" x14ac:dyDescent="0.25">
      <c r="A18" s="369"/>
      <c r="B18" s="290" t="s">
        <v>438</v>
      </c>
      <c r="C18" s="1291">
        <v>500</v>
      </c>
      <c r="D18" s="1291"/>
      <c r="E18" s="375"/>
      <c r="F18" s="289"/>
      <c r="G18" s="279"/>
      <c r="H18" s="253"/>
      <c r="I18" s="376"/>
      <c r="J18" s="257"/>
      <c r="K18" s="257"/>
      <c r="L18" s="284"/>
      <c r="M18" s="1280" t="s">
        <v>437</v>
      </c>
      <c r="N18" s="1281"/>
      <c r="O18" s="1281"/>
      <c r="P18" s="1281"/>
      <c r="Q18" s="1281"/>
      <c r="R18" s="1309"/>
      <c r="S18" s="1280" t="s">
        <v>436</v>
      </c>
      <c r="T18" s="1281"/>
      <c r="U18" s="1281"/>
      <c r="V18" s="1281"/>
      <c r="W18" s="1281"/>
      <c r="X18" s="1281"/>
      <c r="Y18" s="1296" t="s">
        <v>435</v>
      </c>
      <c r="Z18" s="1297"/>
      <c r="AA18" s="1297"/>
      <c r="AB18" s="1297"/>
      <c r="AC18" s="1297"/>
      <c r="AD18" s="1298"/>
      <c r="AE18" s="1302" t="s">
        <v>434</v>
      </c>
      <c r="AF18" s="1302"/>
      <c r="AG18" s="1302"/>
      <c r="AH18" s="1302"/>
      <c r="AI18" s="1302"/>
      <c r="AJ18" s="1302"/>
      <c r="AK18" s="256"/>
      <c r="AP18" s="247"/>
      <c r="AQ18" s="247"/>
      <c r="AR18" s="247"/>
    </row>
    <row r="19" spans="1:44" ht="18.75" customHeight="1" x14ac:dyDescent="0.25">
      <c r="A19" s="369"/>
      <c r="B19" s="288" t="s">
        <v>433</v>
      </c>
      <c r="C19" s="1292">
        <v>600</v>
      </c>
      <c r="D19" s="1292"/>
      <c r="E19" s="257"/>
      <c r="F19" s="249"/>
      <c r="G19" s="279"/>
      <c r="H19" s="253"/>
      <c r="I19" s="376"/>
      <c r="J19" s="257"/>
      <c r="K19" s="257"/>
      <c r="L19" s="284"/>
      <c r="M19" s="1282"/>
      <c r="N19" s="1283"/>
      <c r="O19" s="1283"/>
      <c r="P19" s="1283"/>
      <c r="Q19" s="1283"/>
      <c r="R19" s="1310"/>
      <c r="S19" s="1282"/>
      <c r="T19" s="1283"/>
      <c r="U19" s="1283"/>
      <c r="V19" s="1283"/>
      <c r="W19" s="1283"/>
      <c r="X19" s="1283"/>
      <c r="Y19" s="1299"/>
      <c r="Z19" s="1300"/>
      <c r="AA19" s="1300"/>
      <c r="AB19" s="1300"/>
      <c r="AC19" s="1300"/>
      <c r="AD19" s="1301"/>
      <c r="AE19" s="1302"/>
      <c r="AF19" s="1302"/>
      <c r="AG19" s="1302"/>
      <c r="AH19" s="1302"/>
      <c r="AI19" s="1302"/>
      <c r="AJ19" s="1302"/>
      <c r="AK19" s="256"/>
      <c r="AP19" s="247"/>
      <c r="AQ19" s="247"/>
      <c r="AR19" s="247"/>
    </row>
    <row r="20" spans="1:44" ht="18.75" customHeight="1" x14ac:dyDescent="0.25">
      <c r="A20" s="369"/>
      <c r="B20" s="1277" t="s">
        <v>432</v>
      </c>
      <c r="C20" s="1278"/>
      <c r="D20" s="1279"/>
      <c r="E20" s="257"/>
      <c r="F20" s="249"/>
      <c r="G20" s="279"/>
      <c r="H20" s="253"/>
      <c r="I20" s="376"/>
      <c r="J20" s="257"/>
      <c r="K20" s="257"/>
      <c r="L20" s="284"/>
      <c r="M20" s="1303">
        <f>AY7</f>
        <v>5.2263452799999994</v>
      </c>
      <c r="N20" s="1304"/>
      <c r="O20" s="1304"/>
      <c r="P20" s="1304"/>
      <c r="Q20" s="1304"/>
      <c r="R20" s="1305"/>
      <c r="S20" s="1306">
        <f>C26/1000</f>
        <v>0</v>
      </c>
      <c r="T20" s="1307"/>
      <c r="U20" s="1307"/>
      <c r="V20" s="1307"/>
      <c r="W20" s="1307"/>
      <c r="X20" s="1307"/>
      <c r="Y20" s="1303">
        <f>C27</f>
        <v>0</v>
      </c>
      <c r="Z20" s="1304"/>
      <c r="AA20" s="1304"/>
      <c r="AB20" s="1304"/>
      <c r="AC20" s="1304"/>
      <c r="AD20" s="1305"/>
      <c r="AE20" s="1308">
        <f>M20+S20+Y20</f>
        <v>5.2263452799999994</v>
      </c>
      <c r="AF20" s="1308"/>
      <c r="AG20" s="1308"/>
      <c r="AH20" s="1308"/>
      <c r="AI20" s="1308"/>
      <c r="AJ20" s="1308"/>
      <c r="AK20" s="256"/>
      <c r="AP20" s="247"/>
      <c r="AQ20" s="247"/>
      <c r="AR20" s="247"/>
    </row>
    <row r="21" spans="1:44" ht="18.75" customHeight="1" x14ac:dyDescent="0.25">
      <c r="A21" s="369"/>
      <c r="B21" s="287"/>
      <c r="C21" s="286" t="s">
        <v>431</v>
      </c>
      <c r="D21" s="285" t="s">
        <v>430</v>
      </c>
      <c r="E21" s="257"/>
      <c r="F21" s="249"/>
      <c r="G21" s="279"/>
      <c r="H21" s="253"/>
      <c r="I21" s="376"/>
      <c r="J21" s="257"/>
      <c r="K21" s="257"/>
      <c r="L21" s="284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2"/>
      <c r="AF21" s="282"/>
      <c r="AG21" s="282"/>
      <c r="AH21" s="282"/>
      <c r="AI21" s="282"/>
      <c r="AJ21" s="282"/>
      <c r="AK21" s="256"/>
      <c r="AP21" s="247"/>
      <c r="AQ21" s="247"/>
      <c r="AR21" s="247"/>
    </row>
    <row r="22" spans="1:44" ht="18.75" customHeight="1" x14ac:dyDescent="0.25">
      <c r="A22" s="369"/>
      <c r="B22" s="281" t="s">
        <v>340</v>
      </c>
      <c r="C22" s="280" t="s">
        <v>429</v>
      </c>
      <c r="D22" s="280" t="s">
        <v>428</v>
      </c>
      <c r="E22" s="257"/>
      <c r="F22" s="249"/>
      <c r="G22" s="279"/>
      <c r="H22" s="253"/>
      <c r="I22" s="376"/>
      <c r="J22" s="257"/>
      <c r="K22" s="257"/>
      <c r="L22" s="1274"/>
      <c r="M22" s="1274"/>
      <c r="N22" s="1274"/>
      <c r="O22" s="1274"/>
      <c r="P22" s="1274"/>
      <c r="Q22" s="1274"/>
      <c r="R22" s="1274"/>
      <c r="S22" s="1274"/>
      <c r="T22" s="1274"/>
      <c r="U22" s="1274"/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4"/>
      <c r="AF22" s="1274"/>
      <c r="AG22" s="1274"/>
      <c r="AH22" s="1274"/>
      <c r="AI22" s="1274"/>
      <c r="AJ22" s="1274"/>
      <c r="AK22" s="256"/>
      <c r="AP22" s="247"/>
      <c r="AQ22" s="247"/>
      <c r="AR22" s="247"/>
    </row>
    <row r="23" spans="1:44" ht="18.75" x14ac:dyDescent="0.25">
      <c r="A23" s="369"/>
      <c r="B23" s="277" t="s">
        <v>234</v>
      </c>
      <c r="C23" s="1264">
        <v>0</v>
      </c>
      <c r="D23" s="1264"/>
      <c r="E23" s="257"/>
      <c r="F23" s="249"/>
      <c r="G23" s="279"/>
      <c r="H23" s="278"/>
      <c r="I23" s="376"/>
      <c r="J23" s="257"/>
      <c r="K23" s="257"/>
      <c r="L23" s="1274"/>
      <c r="M23" s="1274"/>
      <c r="N23" s="1274"/>
      <c r="O23" s="1274"/>
      <c r="P23" s="1274"/>
      <c r="Q23" s="1274"/>
      <c r="R23" s="1274"/>
      <c r="S23" s="1274"/>
      <c r="T23" s="1274"/>
      <c r="U23" s="1274"/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4"/>
      <c r="AF23" s="1274"/>
      <c r="AG23" s="1274"/>
      <c r="AH23" s="1274"/>
      <c r="AI23" s="1274"/>
      <c r="AJ23" s="1274"/>
      <c r="AK23" s="256"/>
      <c r="AP23" s="247"/>
      <c r="AQ23" s="247"/>
      <c r="AR23" s="247"/>
    </row>
    <row r="24" spans="1:44" ht="18.75" x14ac:dyDescent="0.25">
      <c r="A24" s="369"/>
      <c r="B24" s="277" t="s">
        <v>427</v>
      </c>
      <c r="C24" s="1264">
        <v>0</v>
      </c>
      <c r="D24" s="1264"/>
      <c r="E24" s="257"/>
      <c r="F24" s="276"/>
      <c r="G24" s="276"/>
      <c r="H24" s="276"/>
      <c r="I24" s="377"/>
      <c r="J24" s="377"/>
      <c r="K24" s="1269" t="s">
        <v>426</v>
      </c>
      <c r="L24" s="1270"/>
      <c r="M24" s="1275" t="s">
        <v>425</v>
      </c>
      <c r="N24" s="1275"/>
      <c r="O24" s="1275"/>
      <c r="P24" s="1275"/>
      <c r="Q24" s="1275" t="s">
        <v>424</v>
      </c>
      <c r="R24" s="1275"/>
      <c r="S24" s="1275"/>
      <c r="T24" s="1275"/>
      <c r="U24" s="1275" t="s">
        <v>423</v>
      </c>
      <c r="V24" s="1275"/>
      <c r="W24" s="1275"/>
      <c r="X24" s="1275"/>
      <c r="Y24" s="1275" t="s">
        <v>422</v>
      </c>
      <c r="Z24" s="1275"/>
      <c r="AA24" s="1275"/>
      <c r="AB24" s="1275"/>
      <c r="AC24" s="1275" t="s">
        <v>421</v>
      </c>
      <c r="AD24" s="1275"/>
      <c r="AE24" s="1275"/>
      <c r="AF24" s="1275"/>
      <c r="AG24" s="1275" t="s">
        <v>420</v>
      </c>
      <c r="AH24" s="1275"/>
      <c r="AI24" s="1275"/>
      <c r="AJ24" s="1275"/>
      <c r="AK24" s="256"/>
      <c r="AP24" s="247"/>
      <c r="AQ24" s="247"/>
      <c r="AR24" s="247"/>
    </row>
    <row r="25" spans="1:44" ht="18.75" customHeight="1" x14ac:dyDescent="0.25">
      <c r="A25" s="369"/>
      <c r="B25" s="1271" t="s">
        <v>419</v>
      </c>
      <c r="C25" s="1271"/>
      <c r="D25" s="1272"/>
      <c r="E25" s="1265"/>
      <c r="F25" s="1265"/>
      <c r="G25" s="1265"/>
      <c r="H25" s="1265"/>
      <c r="I25" s="257"/>
      <c r="J25" s="257"/>
      <c r="K25" s="1267" t="s">
        <v>418</v>
      </c>
      <c r="L25" s="264" t="s">
        <v>417</v>
      </c>
      <c r="M25" s="275"/>
      <c r="N25" s="273"/>
      <c r="O25" s="274"/>
      <c r="P25" s="274"/>
      <c r="Q25" s="274"/>
      <c r="R25" s="274"/>
      <c r="S25" s="273"/>
      <c r="T25" s="272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0"/>
      <c r="AF25" s="270"/>
      <c r="AG25" s="270"/>
      <c r="AH25" s="270"/>
      <c r="AI25" s="270"/>
      <c r="AJ25" s="269"/>
      <c r="AK25" s="256"/>
      <c r="AP25" s="247"/>
      <c r="AQ25" s="247"/>
      <c r="AR25" s="247"/>
    </row>
    <row r="26" spans="1:44" ht="18.75" customHeight="1" x14ac:dyDescent="0.25">
      <c r="A26" s="369"/>
      <c r="B26" s="268" t="s">
        <v>416</v>
      </c>
      <c r="C26" s="1273">
        <v>0</v>
      </c>
      <c r="D26" s="1272"/>
      <c r="E26" s="1285" t="s">
        <v>415</v>
      </c>
      <c r="F26" s="1286"/>
      <c r="G26" s="1286"/>
      <c r="H26" s="1286"/>
      <c r="I26" s="257"/>
      <c r="J26" s="257"/>
      <c r="K26" s="1268"/>
      <c r="L26" s="264" t="s">
        <v>414</v>
      </c>
      <c r="M26" s="267"/>
      <c r="N26" s="266"/>
      <c r="O26" s="260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8"/>
      <c r="AC26" s="266"/>
      <c r="AD26" s="266"/>
      <c r="AE26" s="266"/>
      <c r="AF26" s="266"/>
      <c r="AG26" s="266"/>
      <c r="AH26" s="266"/>
      <c r="AI26" s="266"/>
      <c r="AJ26" s="265"/>
      <c r="AK26" s="256"/>
      <c r="AP26" s="247"/>
      <c r="AQ26" s="247"/>
      <c r="AR26" s="247"/>
    </row>
    <row r="27" spans="1:44" ht="18.75" customHeight="1" x14ac:dyDescent="0.25">
      <c r="A27" s="369"/>
      <c r="B27" s="1289" t="s">
        <v>413</v>
      </c>
      <c r="C27" s="1273">
        <v>0</v>
      </c>
      <c r="D27" s="1272"/>
      <c r="E27" s="1287"/>
      <c r="F27" s="1288"/>
      <c r="G27" s="1288"/>
      <c r="H27" s="1288"/>
      <c r="I27" s="257"/>
      <c r="J27" s="257"/>
      <c r="K27" s="1268"/>
      <c r="L27" s="264" t="s">
        <v>412</v>
      </c>
      <c r="M27" s="263"/>
      <c r="N27" s="262"/>
      <c r="O27" s="262"/>
      <c r="P27" s="262"/>
      <c r="Q27" s="262"/>
      <c r="R27" s="262"/>
      <c r="S27" s="262"/>
      <c r="T27" s="262"/>
      <c r="U27" s="261"/>
      <c r="V27" s="261"/>
      <c r="W27" s="260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8"/>
      <c r="AK27" s="256"/>
      <c r="AP27" s="247"/>
      <c r="AQ27" s="247"/>
      <c r="AR27" s="247"/>
    </row>
    <row r="28" spans="1:44" ht="18.75" customHeight="1" x14ac:dyDescent="0.25">
      <c r="A28" s="369"/>
      <c r="B28" s="1290"/>
      <c r="C28" s="1273"/>
      <c r="D28" s="1272"/>
      <c r="E28" s="1287"/>
      <c r="F28" s="1288"/>
      <c r="G28" s="1288"/>
      <c r="H28" s="1288"/>
      <c r="I28" s="257"/>
      <c r="J28" s="257"/>
      <c r="K28" s="257"/>
      <c r="L28" s="1294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294"/>
      <c r="N28" s="1294"/>
      <c r="O28" s="1294"/>
      <c r="P28" s="1294"/>
      <c r="Q28" s="1294"/>
      <c r="R28" s="1294"/>
      <c r="S28" s="1294"/>
      <c r="T28" s="1294"/>
      <c r="U28" s="1294"/>
      <c r="V28" s="1294"/>
      <c r="W28" s="1294"/>
      <c r="X28" s="1294"/>
      <c r="Y28" s="1294"/>
      <c r="Z28" s="1294"/>
      <c r="AA28" s="1294"/>
      <c r="AB28" s="1294"/>
      <c r="AC28" s="1294"/>
      <c r="AD28" s="1294"/>
      <c r="AE28" s="1294"/>
      <c r="AF28" s="1294"/>
      <c r="AG28" s="1294"/>
      <c r="AH28" s="1294"/>
      <c r="AI28" s="1294"/>
      <c r="AJ28" s="1294"/>
      <c r="AK28" s="256"/>
      <c r="AP28" s="247"/>
      <c r="AQ28" s="247"/>
      <c r="AR28" s="247"/>
    </row>
    <row r="29" spans="1:44" ht="18.75" hidden="1" customHeight="1" x14ac:dyDescent="0.25">
      <c r="A29" s="369"/>
      <c r="B29" s="255"/>
      <c r="C29" s="254"/>
      <c r="D29" s="253"/>
      <c r="E29" s="1266"/>
      <c r="F29" s="1266"/>
      <c r="G29" s="1266"/>
      <c r="H29" s="1266"/>
      <c r="I29" s="249"/>
      <c r="J29" s="249"/>
      <c r="K29" s="257"/>
      <c r="L29" s="1295"/>
      <c r="M29" s="1295"/>
      <c r="N29" s="1295"/>
      <c r="O29" s="1295"/>
      <c r="P29" s="1295"/>
      <c r="Q29" s="1295"/>
      <c r="R29" s="1295"/>
      <c r="S29" s="1295"/>
      <c r="T29" s="1295"/>
      <c r="U29" s="1295"/>
      <c r="V29" s="1295"/>
      <c r="W29" s="1295"/>
      <c r="X29" s="1295"/>
      <c r="Y29" s="1295"/>
      <c r="Z29" s="1295"/>
      <c r="AA29" s="1295"/>
      <c r="AB29" s="1295"/>
      <c r="AC29" s="1295"/>
      <c r="AD29" s="1295"/>
      <c r="AE29" s="1295"/>
      <c r="AF29" s="1295"/>
      <c r="AG29" s="1295"/>
      <c r="AH29" s="1295"/>
      <c r="AI29" s="1295"/>
      <c r="AJ29" s="1295"/>
      <c r="AK29" s="256"/>
      <c r="AP29" s="247"/>
      <c r="AQ29" s="247"/>
      <c r="AR29" s="247"/>
    </row>
    <row r="30" spans="1:44" ht="18.75" customHeight="1" x14ac:dyDescent="0.25">
      <c r="A30" s="370"/>
      <c r="B30" s="371"/>
      <c r="C30" s="372"/>
      <c r="D30" s="373"/>
      <c r="E30" s="1284"/>
      <c r="F30" s="1284"/>
      <c r="G30" s="1284"/>
      <c r="H30" s="1284"/>
      <c r="I30" s="374"/>
      <c r="J30" s="374"/>
      <c r="K30" s="252"/>
      <c r="L30" s="1293" t="s">
        <v>411</v>
      </c>
      <c r="M30" s="1293"/>
      <c r="N30" s="1293"/>
      <c r="O30" s="1293"/>
      <c r="P30" s="1293"/>
      <c r="Q30" s="1293"/>
      <c r="R30" s="1293"/>
      <c r="S30" s="1293"/>
      <c r="T30" s="1293"/>
      <c r="U30" s="1293"/>
      <c r="V30" s="1293"/>
      <c r="W30" s="1293"/>
      <c r="X30" s="1293"/>
      <c r="Y30" s="1293"/>
      <c r="Z30" s="1293"/>
      <c r="AA30" s="1293"/>
      <c r="AB30" s="1293"/>
      <c r="AC30" s="1293"/>
      <c r="AD30" s="1293"/>
      <c r="AE30" s="251">
        <f>FLOOR(1125/(C19-247),1)</f>
        <v>3</v>
      </c>
      <c r="AF30" s="1276" t="str">
        <f>IF(AE30&lt;2,"ящик",IF(AE30&lt;5,"ящика","ящиков"))</f>
        <v>ящика</v>
      </c>
      <c r="AG30" s="1276"/>
      <c r="AH30" s="1276"/>
      <c r="AI30" s="1276"/>
      <c r="AJ30" s="367"/>
      <c r="AK30" s="250"/>
      <c r="AP30" s="247"/>
      <c r="AQ30" s="247"/>
      <c r="AR30" s="247"/>
    </row>
    <row r="31" spans="1:44" ht="24" customHeight="1" x14ac:dyDescent="0.35">
      <c r="A31" s="1261"/>
      <c r="B31" s="1262"/>
      <c r="C31" s="1262"/>
      <c r="D31" s="1262"/>
      <c r="E31" s="1263"/>
      <c r="F31" s="1263"/>
      <c r="G31" s="1263"/>
      <c r="H31" s="1263"/>
      <c r="I31" s="1263"/>
      <c r="J31" s="1263"/>
      <c r="K31" s="1263"/>
      <c r="L31" s="248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8"/>
      <c r="AP31" s="247"/>
      <c r="AQ31" s="247"/>
      <c r="AR31" s="247"/>
    </row>
    <row r="32" spans="1:44" ht="23.25" customHeight="1" x14ac:dyDescent="0.25">
      <c r="A32" s="248"/>
      <c r="B32" s="248"/>
      <c r="C32" s="248"/>
      <c r="D32" s="248"/>
      <c r="E32" s="1323"/>
      <c r="F32" s="1324"/>
      <c r="G32" s="1324"/>
      <c r="H32" s="1324"/>
      <c r="I32" s="1324"/>
      <c r="J32" s="1324"/>
      <c r="K32" s="248"/>
      <c r="L32" s="248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8"/>
      <c r="AP32" s="247"/>
      <c r="AQ32" s="247"/>
      <c r="AR32" s="247"/>
    </row>
    <row r="33" spans="1:10" ht="19.5" customHeight="1" x14ac:dyDescent="0.25">
      <c r="A33" s="246"/>
      <c r="E33" s="1325"/>
      <c r="F33" s="1325"/>
      <c r="G33" s="1325"/>
      <c r="H33" s="1325"/>
      <c r="I33" s="1325"/>
      <c r="J33" s="1325"/>
    </row>
    <row r="34" spans="1:10" ht="18.75" customHeight="1" x14ac:dyDescent="0.25">
      <c r="E34" s="1326"/>
      <c r="F34" s="1327"/>
      <c r="G34" s="1327"/>
      <c r="H34" s="1327"/>
      <c r="I34" s="1327"/>
      <c r="J34" s="1327"/>
    </row>
    <row r="35" spans="1:10" ht="23.25" customHeight="1" x14ac:dyDescent="0.25">
      <c r="E35" s="1327"/>
      <c r="F35" s="1327"/>
      <c r="G35" s="1327"/>
      <c r="H35" s="1327"/>
      <c r="I35" s="1327"/>
      <c r="J35" s="1327"/>
    </row>
    <row r="36" spans="1:10" x14ac:dyDescent="0.25">
      <c r="E36" s="1323"/>
      <c r="F36" s="1324"/>
      <c r="G36" s="1324"/>
      <c r="H36" s="1324"/>
      <c r="I36" s="1324"/>
      <c r="J36" s="1324"/>
    </row>
    <row r="37" spans="1:10" x14ac:dyDescent="0.25">
      <c r="E37" s="1325"/>
      <c r="F37" s="1325"/>
      <c r="G37" s="1325"/>
      <c r="H37" s="1325"/>
      <c r="I37" s="1325"/>
      <c r="J37" s="1325"/>
    </row>
    <row r="38" spans="1:10" x14ac:dyDescent="0.25">
      <c r="E38" s="1323"/>
      <c r="F38" s="1324"/>
      <c r="G38" s="1324"/>
      <c r="H38" s="1324"/>
      <c r="I38" s="1324"/>
      <c r="J38" s="1324"/>
    </row>
    <row r="39" spans="1:10" ht="21.75" customHeight="1" x14ac:dyDescent="0.25">
      <c r="E39" s="1325"/>
      <c r="F39" s="1325"/>
      <c r="G39" s="1325"/>
      <c r="H39" s="1325"/>
      <c r="I39" s="1325"/>
      <c r="J39" s="1325"/>
    </row>
    <row r="40" spans="1:10" x14ac:dyDescent="0.25">
      <c r="E40" s="1325"/>
      <c r="F40" s="1325"/>
      <c r="G40" s="1325"/>
      <c r="H40" s="1325"/>
      <c r="I40" s="1325"/>
      <c r="J40" s="1325"/>
    </row>
    <row r="41" spans="1:10" x14ac:dyDescent="0.25">
      <c r="E41" s="1328"/>
      <c r="F41" s="1329"/>
      <c r="G41" s="1329"/>
      <c r="H41" s="1329"/>
      <c r="I41" s="1329"/>
      <c r="J41" s="1329"/>
    </row>
    <row r="42" spans="1:10" x14ac:dyDescent="0.25">
      <c r="E42" s="1328"/>
      <c r="F42" s="1329"/>
      <c r="G42" s="1329"/>
      <c r="H42" s="1329"/>
      <c r="I42" s="1329"/>
      <c r="J42" s="1329"/>
    </row>
    <row r="44" spans="1:10" x14ac:dyDescent="0.25">
      <c r="E44" s="1321"/>
      <c r="F44" s="1322"/>
      <c r="G44" s="1322"/>
      <c r="H44" s="1322"/>
      <c r="I44" s="1322"/>
      <c r="J44" s="1322"/>
    </row>
    <row r="45" spans="1:10" x14ac:dyDescent="0.25">
      <c r="E45" s="1321"/>
      <c r="F45" s="1322"/>
      <c r="G45" s="1322"/>
      <c r="H45" s="1322"/>
      <c r="I45" s="1322"/>
      <c r="J45" s="1322"/>
    </row>
    <row r="46" spans="1:10" x14ac:dyDescent="0.25">
      <c r="E46" s="1321"/>
      <c r="F46" s="1322"/>
      <c r="G46" s="1322"/>
      <c r="H46" s="1322"/>
      <c r="I46" s="1322"/>
      <c r="J46" s="1322"/>
    </row>
  </sheetData>
  <sheetProtection algorithmName="SHA-512" hashValue="pb8147ou7I5HTveYjU2ORw6WFOeET7/F8+7AL+I6SNu91V8FljXRXZqhRijbxLOO3kcqwOJ32Rxzv4eOMILncw==" saltValue="yVmKGOLt7oCODUP8Gwy/pw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A25B6F15-9B48-4230-9C30-183637D1319E}" showGridLines="0" showRowCol="0" hiddenRows="1" hiddenColumns="1" topLeftCell="A34">
      <selection activeCell="AN19" sqref="AN19"/>
      <pageMargins left="0.70866141732283461" right="0.70866141732283461" top="0.74803149606299213" bottom="0.74803149606299213" header="0.31496062992125984" footer="0.31496062992125984"/>
      <pageSetup paperSize="9" scale="52" orientation="landscape" r:id="rId1"/>
    </customSheetView>
  </customSheetViews>
  <mergeCells count="49">
    <mergeCell ref="E44:J44"/>
    <mergeCell ref="E45:J45"/>
    <mergeCell ref="E46:J46"/>
    <mergeCell ref="E32:J33"/>
    <mergeCell ref="E34:J35"/>
    <mergeCell ref="E36:J37"/>
    <mergeCell ref="E38:J40"/>
    <mergeCell ref="E42:J42"/>
    <mergeCell ref="E41:J41"/>
    <mergeCell ref="A1:AK1"/>
    <mergeCell ref="AU1:AY1"/>
    <mergeCell ref="A12:AK12"/>
    <mergeCell ref="B15:D16"/>
    <mergeCell ref="M15:AJ17"/>
    <mergeCell ref="C17:D17"/>
    <mergeCell ref="M20:R20"/>
    <mergeCell ref="S20:X20"/>
    <mergeCell ref="Y20:AD20"/>
    <mergeCell ref="AE20:AJ20"/>
    <mergeCell ref="M18:R19"/>
    <mergeCell ref="B20:D20"/>
    <mergeCell ref="S18:X19"/>
    <mergeCell ref="E30:H30"/>
    <mergeCell ref="C27:D28"/>
    <mergeCell ref="E26:H28"/>
    <mergeCell ref="B27:B28"/>
    <mergeCell ref="C18:D18"/>
    <mergeCell ref="C19:D19"/>
    <mergeCell ref="Q24:T24"/>
    <mergeCell ref="U24:X24"/>
    <mergeCell ref="L30:AD30"/>
    <mergeCell ref="L28:AJ29"/>
    <mergeCell ref="AC24:AF24"/>
    <mergeCell ref="M24:P24"/>
    <mergeCell ref="Y18:AD19"/>
    <mergeCell ref="AE18:AJ19"/>
    <mergeCell ref="A31:K31"/>
    <mergeCell ref="C23:D23"/>
    <mergeCell ref="C24:D24"/>
    <mergeCell ref="E25:H25"/>
    <mergeCell ref="E29:H29"/>
    <mergeCell ref="K25:K27"/>
    <mergeCell ref="K24:L24"/>
    <mergeCell ref="B25:D25"/>
    <mergeCell ref="C26:D26"/>
    <mergeCell ref="L22:AJ23"/>
    <mergeCell ref="Y24:AB24"/>
    <mergeCell ref="AF30:AI30"/>
    <mergeCell ref="AG24:AJ24"/>
  </mergeCells>
  <conditionalFormatting sqref="H23">
    <cfRule type="expression" dxfId="84" priority="25">
      <formula>$C$22=$AT$3</formula>
    </cfRule>
  </conditionalFormatting>
  <conditionalFormatting sqref="M25:M27">
    <cfRule type="expression" dxfId="83" priority="24">
      <formula>$AZ$2=1</formula>
    </cfRule>
  </conditionalFormatting>
  <conditionalFormatting sqref="N25:N27">
    <cfRule type="expression" dxfId="82" priority="23">
      <formula>$AZ$2=2</formula>
    </cfRule>
  </conditionalFormatting>
  <conditionalFormatting sqref="O25:O27">
    <cfRule type="expression" dxfId="81" priority="22">
      <formula>$AZ$2=3</formula>
    </cfRule>
  </conditionalFormatting>
  <conditionalFormatting sqref="P25:P27">
    <cfRule type="expression" dxfId="80" priority="21">
      <formula>$AZ$2=4</formula>
    </cfRule>
  </conditionalFormatting>
  <conditionalFormatting sqref="Q25:Q27">
    <cfRule type="expression" dxfId="79" priority="20">
      <formula>$AZ$2=5</formula>
    </cfRule>
  </conditionalFormatting>
  <conditionalFormatting sqref="R25:R27">
    <cfRule type="expression" dxfId="78" priority="19">
      <formula>$AZ$2=6</formula>
    </cfRule>
  </conditionalFormatting>
  <conditionalFormatting sqref="S25:S27">
    <cfRule type="expression" dxfId="77" priority="18">
      <formula>$AZ$2=7</formula>
    </cfRule>
  </conditionalFormatting>
  <conditionalFormatting sqref="T25:T27">
    <cfRule type="expression" dxfId="76" priority="17">
      <formula>$AZ$2=8</formula>
    </cfRule>
  </conditionalFormatting>
  <conditionalFormatting sqref="U25:U27">
    <cfRule type="expression" dxfId="75" priority="16">
      <formula>$AZ$2=9</formula>
    </cfRule>
  </conditionalFormatting>
  <conditionalFormatting sqref="V25:V27">
    <cfRule type="expression" dxfId="74" priority="15">
      <formula>$AZ$2=10</formula>
    </cfRule>
  </conditionalFormatting>
  <conditionalFormatting sqref="W25:W27">
    <cfRule type="expression" dxfId="73" priority="14">
      <formula>$AZ$2=11</formula>
    </cfRule>
  </conditionalFormatting>
  <conditionalFormatting sqref="X25:X27">
    <cfRule type="expression" dxfId="72" priority="13">
      <formula>$AZ$2=12</formula>
    </cfRule>
  </conditionalFormatting>
  <conditionalFormatting sqref="Y25:Y27">
    <cfRule type="expression" dxfId="71" priority="12">
      <formula>$AZ$2=13</formula>
    </cfRule>
  </conditionalFormatting>
  <conditionalFormatting sqref="Z25:Z27">
    <cfRule type="expression" dxfId="70" priority="11">
      <formula>$AZ$2=14</formula>
    </cfRule>
  </conditionalFormatting>
  <conditionalFormatting sqref="AA25:AA27">
    <cfRule type="expression" dxfId="69" priority="10">
      <formula>$AZ$2=15</formula>
    </cfRule>
  </conditionalFormatting>
  <conditionalFormatting sqref="AB25:AB27">
    <cfRule type="expression" dxfId="68" priority="9">
      <formula>$AZ$2=16</formula>
    </cfRule>
  </conditionalFormatting>
  <conditionalFormatting sqref="AC25:AC27">
    <cfRule type="expression" dxfId="67" priority="8">
      <formula>$AZ$2=17</formula>
    </cfRule>
  </conditionalFormatting>
  <conditionalFormatting sqref="AD25:AD27">
    <cfRule type="expression" dxfId="66" priority="7">
      <formula>$AZ$2=18</formula>
    </cfRule>
  </conditionalFormatting>
  <conditionalFormatting sqref="AE25:AE27">
    <cfRule type="expression" dxfId="65" priority="6">
      <formula>$AZ$2=19</formula>
    </cfRule>
  </conditionalFormatting>
  <conditionalFormatting sqref="AF25:AF27">
    <cfRule type="expression" dxfId="64" priority="5">
      <formula>$AZ$2=20</formula>
    </cfRule>
  </conditionalFormatting>
  <conditionalFormatting sqref="AG25:AG27">
    <cfRule type="expression" dxfId="63" priority="4">
      <formula>$AZ$2=21</formula>
    </cfRule>
  </conditionalFormatting>
  <conditionalFormatting sqref="AH25:AH27">
    <cfRule type="expression" dxfId="62" priority="3">
      <formula>$AZ$2=22</formula>
    </cfRule>
  </conditionalFormatting>
  <conditionalFormatting sqref="AI25:AI27">
    <cfRule type="expression" dxfId="61" priority="2">
      <formula>$AZ$2=23</formula>
    </cfRule>
  </conditionalFormatting>
  <conditionalFormatting sqref="AJ25:AJ27">
    <cfRule type="expression" dxfId="60" priority="1">
      <formula>$AZ$2=24</formula>
    </cfRule>
  </conditionalFormatting>
  <conditionalFormatting sqref="L25">
    <cfRule type="expression" dxfId="59" priority="26">
      <formula>AND(#REF!&gt;349,$AE$20&lt;20.01)</formula>
    </cfRule>
  </conditionalFormatting>
  <conditionalFormatting sqref="L26">
    <cfRule type="expression" dxfId="58" priority="27">
      <formula>AND(#REF!&gt;349,$AE$20&gt;4.99,$AE$20&lt;40.01)</formula>
    </cfRule>
  </conditionalFormatting>
  <conditionalFormatting sqref="L27">
    <cfRule type="expression" dxfId="57" priority="28">
      <formula>AND(#REF!&gt;349,$AE$20&gt;24.99,$AE$20&lt;60)</formula>
    </cfRule>
  </conditionalFormatting>
  <dataValidations count="5">
    <dataValidation type="list" allowBlank="1" showInputMessage="1" showErrorMessage="1" sqref="D22" xr:uid="{00000000-0002-0000-0E00-000000000000}">
      <formula1>$AS$3:$AS$5</formula1>
    </dataValidation>
    <dataValidation type="list" allowBlank="1" showInputMessage="1" showErrorMessage="1" sqref="C22" xr:uid="{00000000-0002-0000-0E00-000001000000}">
      <formula1>$AQ$2:$AQ$6</formula1>
    </dataValidation>
    <dataValidation type="list" allowBlank="1" showInputMessage="1" showErrorMessage="1" sqref="C18:D18" xr:uid="{00000000-0002-0000-0E00-000002000000}">
      <formula1>$AP$6:$AP$7</formula1>
    </dataValidation>
    <dataValidation type="list" allowBlank="1" showInputMessage="1" showErrorMessage="1" sqref="AM9" xr:uid="{00000000-0002-0000-0E00-000003000000}">
      <formula1>$AM$2:$AM$6</formula1>
    </dataValidation>
    <dataValidation type="list" allowBlank="1" showInputMessage="1" showErrorMessage="1" sqref="C17:D17" xr:uid="{00000000-0002-0000-0E00-000004000000}">
      <formula1>$AO$2:$AO$8</formula1>
    </dataValidation>
  </dataValidations>
  <hyperlinks>
    <hyperlink ref="AL1" location="Содержание!A1" display="← СОДЕРЖАНИЕ:" xr:uid="{00000000-0004-0000-0E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E289"/>
  <sheetViews>
    <sheetView topLeftCell="A21" zoomScaleNormal="100" workbookViewId="0">
      <selection activeCell="AN19" sqref="AN19"/>
    </sheetView>
  </sheetViews>
  <sheetFormatPr defaultRowHeight="15" x14ac:dyDescent="0.25"/>
  <cols>
    <col min="1" max="1" width="3.28515625" style="245" customWidth="1"/>
    <col min="2" max="2" width="33" style="245" customWidth="1"/>
    <col min="3" max="4" width="10.7109375" style="245" customWidth="1"/>
    <col min="5" max="5" width="11.140625" style="245" customWidth="1"/>
    <col min="6" max="7" width="2" style="245" customWidth="1"/>
    <col min="8" max="8" width="28.5703125" style="245" customWidth="1"/>
    <col min="9" max="10" width="2" style="245" customWidth="1"/>
    <col min="11" max="11" width="4.7109375" style="245" customWidth="1"/>
    <col min="12" max="12" width="4" style="245" customWidth="1"/>
    <col min="13" max="36" width="2" style="245" customWidth="1"/>
    <col min="37" max="37" width="6" style="245" customWidth="1"/>
    <col min="38" max="38" width="20" style="245" customWidth="1"/>
    <col min="39" max="39" width="18.42578125" style="245" customWidth="1"/>
    <col min="40" max="40" width="9.140625" style="245" customWidth="1"/>
    <col min="41" max="41" width="21.140625" style="245" hidden="1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3" width="12.42578125" style="245" hidden="1" customWidth="1"/>
    <col min="54" max="55" width="14.85546875" style="245" hidden="1" customWidth="1"/>
    <col min="56" max="57" width="0" style="245" hidden="1" customWidth="1"/>
    <col min="58" max="16384" width="9.140625" style="245"/>
  </cols>
  <sheetData>
    <row r="1" spans="1:57" ht="45.75" customHeight="1" thickBot="1" x14ac:dyDescent="0.5">
      <c r="A1" s="1330" t="s">
        <v>543</v>
      </c>
      <c r="B1" s="1331"/>
      <c r="C1" s="1331"/>
      <c r="D1" s="1331"/>
      <c r="E1" s="1331"/>
      <c r="F1" s="1332"/>
      <c r="G1" s="1332"/>
      <c r="H1" s="1332"/>
      <c r="I1" s="1332"/>
      <c r="J1" s="1332"/>
      <c r="K1" s="1332"/>
      <c r="L1" s="1332"/>
      <c r="M1" s="1332"/>
      <c r="N1" s="1332"/>
      <c r="O1" s="1332"/>
      <c r="P1" s="1332"/>
      <c r="Q1" s="1332"/>
      <c r="R1" s="1332"/>
      <c r="S1" s="1332"/>
      <c r="T1" s="1332"/>
      <c r="U1" s="1332"/>
      <c r="V1" s="1332"/>
      <c r="W1" s="1332"/>
      <c r="X1" s="1332"/>
      <c r="Y1" s="1332"/>
      <c r="Z1" s="1332"/>
      <c r="AA1" s="1332"/>
      <c r="AB1" s="1332"/>
      <c r="AC1" s="1332"/>
      <c r="AD1" s="1332"/>
      <c r="AE1" s="1332"/>
      <c r="AF1" s="1332"/>
      <c r="AG1" s="1332"/>
      <c r="AH1" s="1332"/>
      <c r="AI1" s="1332"/>
      <c r="AJ1" s="1332"/>
      <c r="AK1" s="1333"/>
      <c r="AL1" s="435" t="s">
        <v>544</v>
      </c>
      <c r="AN1" s="311"/>
      <c r="AO1" s="312" t="s">
        <v>490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  <c r="BA1" s="310" t="s">
        <v>483</v>
      </c>
      <c r="BB1" s="306" t="s">
        <v>482</v>
      </c>
      <c r="BC1" s="306" t="s">
        <v>481</v>
      </c>
      <c r="BD1" s="306" t="s">
        <v>480</v>
      </c>
      <c r="BE1" s="306" t="s">
        <v>456</v>
      </c>
    </row>
    <row r="2" spans="1:57" ht="14.25" customHeight="1" x14ac:dyDescent="0.25">
      <c r="A2" s="387"/>
      <c r="B2" s="301"/>
      <c r="C2" s="301"/>
      <c r="D2" s="301"/>
      <c r="E2" s="301"/>
      <c r="AK2" s="316"/>
      <c r="AL2" s="438"/>
      <c r="AN2" s="247"/>
      <c r="AO2" s="299" t="s">
        <v>479</v>
      </c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 t="e">
        <f>IF(#REF!&lt;0,0,IF(#REF!&lt;2.51,1,IF(#REF!&lt;5.01,2,IF(#REF!&lt;7.51,3,IF(#REF!&lt;10.01,4,IF(#REF!&lt;12.51,5,IF(#REF!&lt;15.01,6,IF(#REF!&lt;17.51,7,IF(#REF!&lt;20.01,8,IF(#REF!&lt;22.51,9,IF(#REF!&lt;25.01,10,IF(#REF!&lt;27.51,11,IF(#REF!&lt;30.01,12,IF(#REF!&lt;32.51,13,IF(#REF!&lt;35.01,14,IF(#REF!&lt;37.51,15,IF(#REF!&lt;40.01,16,IF(#REF!&lt;42.51,17,IF(#REF!&lt;45.01,18,IF(#REF!&lt;47.51,19,IF(#REF!&lt;50.01,20,IF(#REF!&lt;52.51,21,IF(#REF!&lt;55.01,22,IF(#REF!&lt;57.51,23,IF(#REF!&lt;60,24,25)))))))))))))))))))))))))</f>
        <v>#REF!</v>
      </c>
      <c r="BA2" s="306" t="s">
        <v>470</v>
      </c>
      <c r="BB2" s="306">
        <v>1.6890000000000001</v>
      </c>
      <c r="BC2" s="306">
        <v>1.829</v>
      </c>
      <c r="BD2" s="306" t="e">
        <f>63*(#REF!-38)/1000000</f>
        <v>#REF!</v>
      </c>
      <c r="BE2" s="306" t="e">
        <f>(#REF!-10)*(#REF!-35)/1000000</f>
        <v>#REF!</v>
      </c>
    </row>
    <row r="3" spans="1:57" ht="14.25" customHeight="1" x14ac:dyDescent="0.25">
      <c r="A3" s="387"/>
      <c r="B3" s="301"/>
      <c r="C3" s="301"/>
      <c r="D3" s="301"/>
      <c r="E3" s="301"/>
      <c r="AK3" s="316"/>
      <c r="AN3" s="247"/>
      <c r="AO3" s="299" t="s">
        <v>469</v>
      </c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465</v>
      </c>
      <c r="AV3" s="306">
        <v>1</v>
      </c>
      <c r="AW3" s="306" t="e">
        <f>IF(#REF!=AP6,BB9,BC9)</f>
        <v>#REF!</v>
      </c>
      <c r="AX3" s="306">
        <v>1</v>
      </c>
      <c r="AY3" s="306" t="e">
        <f>AV3*AW3*AX3</f>
        <v>#REF!</v>
      </c>
      <c r="BA3" s="306" t="s">
        <v>464</v>
      </c>
      <c r="BB3" s="306">
        <v>1.417</v>
      </c>
      <c r="BC3" s="306">
        <v>1.53</v>
      </c>
      <c r="BD3" s="306" t="e">
        <f>39*(#REF!-38)/1000000</f>
        <v>#REF!</v>
      </c>
      <c r="BE3" s="306" t="e">
        <f>(#REF!-10)*(#REF!-35)/1000000</f>
        <v>#REF!</v>
      </c>
    </row>
    <row r="4" spans="1:57" ht="14.25" customHeight="1" x14ac:dyDescent="0.25">
      <c r="A4" s="387"/>
      <c r="B4" s="301"/>
      <c r="C4" s="301"/>
      <c r="D4" s="301"/>
      <c r="E4" s="301"/>
      <c r="AK4" s="316"/>
      <c r="AN4" s="247"/>
      <c r="AO4" s="299" t="s">
        <v>463</v>
      </c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460</v>
      </c>
      <c r="AV4" s="306" t="e">
        <f>BD9</f>
        <v>#REF!</v>
      </c>
      <c r="AW4" s="306">
        <f>AR2</f>
        <v>680</v>
      </c>
      <c r="AX4" s="306">
        <v>16</v>
      </c>
      <c r="AY4" s="306" t="e">
        <f>AV4*AW4*AX4/1000</f>
        <v>#REF!</v>
      </c>
      <c r="BA4" s="306" t="s">
        <v>459</v>
      </c>
      <c r="BB4" s="306">
        <v>2.17</v>
      </c>
      <c r="BC4" s="306">
        <v>2.3359999999999999</v>
      </c>
      <c r="BD4" s="306" t="e">
        <f>101*(#REF!-38)/1000000</f>
        <v>#REF!</v>
      </c>
      <c r="BE4" s="306" t="e">
        <f>(#REF!-10)*(#REF!-35)/1000000</f>
        <v>#REF!</v>
      </c>
    </row>
    <row r="5" spans="1:57" ht="14.25" customHeight="1" x14ac:dyDescent="0.25">
      <c r="A5" s="387"/>
      <c r="B5" s="301"/>
      <c r="C5" s="301"/>
      <c r="D5" s="301"/>
      <c r="E5" s="301"/>
      <c r="AK5" s="316"/>
      <c r="AN5" s="247"/>
      <c r="AO5" s="299" t="s">
        <v>458</v>
      </c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456</v>
      </c>
      <c r="AV5" s="306" t="e">
        <f>BE9</f>
        <v>#REF!</v>
      </c>
      <c r="AW5" s="306">
        <f>AR2</f>
        <v>680</v>
      </c>
      <c r="AX5" s="306">
        <v>16</v>
      </c>
      <c r="AY5" s="306" t="e">
        <f>AV5*AW5*AX5/1000</f>
        <v>#REF!</v>
      </c>
      <c r="BA5" s="306" t="s">
        <v>455</v>
      </c>
      <c r="BB5" s="306">
        <v>2.6259999999999999</v>
      </c>
      <c r="BC5" s="306">
        <v>2.871</v>
      </c>
      <c r="BD5" s="306" t="e">
        <f>148*(#REF!-38)/1000000</f>
        <v>#REF!</v>
      </c>
      <c r="BE5" s="306" t="e">
        <f>(#REF!-10)*(#REF!-35)/1000000</f>
        <v>#REF!</v>
      </c>
    </row>
    <row r="6" spans="1:57" ht="14.25" customHeight="1" x14ac:dyDescent="0.25">
      <c r="A6" s="387"/>
      <c r="B6" s="301"/>
      <c r="C6" s="301"/>
      <c r="D6" s="301"/>
      <c r="E6" s="301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89"/>
      <c r="AL6" s="303"/>
      <c r="AN6" s="247"/>
      <c r="AO6" s="299" t="s">
        <v>454</v>
      </c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452</v>
      </c>
      <c r="AV6" s="306" t="e">
        <f>#REF!*#REF!/1000000</f>
        <v>#REF!</v>
      </c>
      <c r="AW6" s="306" t="e">
        <f>IF(#REF!=AQ2,AR2,IF(#REF!=AQ3,AR3,IF(#REF!=AQ4,AR4,IF(#REF!=AQ5,AR5,IF(#REF!=AQ6,AR6,IF(#REF!=AQ7,AR7,0))))))</f>
        <v>#REF!</v>
      </c>
      <c r="AX6" s="306" t="e">
        <f>IF(#REF!=AS2,10,IF(#REF!=AS3,16,IF(#REF!=AS4,18,IF(#REF!=AS5,19,IF(#REF!=AS6,4,0)))))</f>
        <v>#REF!</v>
      </c>
      <c r="AY6" s="306" t="e">
        <f>AV6*AW6*AX6/1000</f>
        <v>#REF!</v>
      </c>
      <c r="BA6" s="306" t="s">
        <v>451</v>
      </c>
      <c r="BB6" s="306">
        <v>3.411</v>
      </c>
      <c r="BC6" s="306">
        <v>3.673</v>
      </c>
      <c r="BD6" s="306" t="e">
        <f>212*(#REF!-38)/1000000</f>
        <v>#REF!</v>
      </c>
      <c r="BE6" s="306" t="e">
        <f>(#REF!-10)*(#REF!-35)/1000000</f>
        <v>#REF!</v>
      </c>
    </row>
    <row r="7" spans="1:57" ht="14.25" customHeight="1" x14ac:dyDescent="0.25">
      <c r="A7" s="387"/>
      <c r="B7" s="301"/>
      <c r="C7" s="301"/>
      <c r="D7" s="301"/>
      <c r="E7" s="301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8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89"/>
      <c r="AL7" s="303"/>
      <c r="AO7" s="299" t="s">
        <v>450</v>
      </c>
      <c r="AP7" s="299">
        <v>500</v>
      </c>
      <c r="AQ7" s="299" t="s">
        <v>449</v>
      </c>
      <c r="AR7" s="299">
        <v>900</v>
      </c>
      <c r="AS7" s="306"/>
      <c r="AY7" s="305" t="e">
        <f>SUM(AY3:AY6)</f>
        <v>#REF!</v>
      </c>
      <c r="BA7" s="306" t="s">
        <v>448</v>
      </c>
      <c r="BB7" s="306" t="e">
        <f>2.027+(0.796/1043*(#REF!-126))</f>
        <v>#REF!</v>
      </c>
      <c r="BC7" s="306" t="e">
        <f>2.167+(0.796/1043*(#REF!-126))</f>
        <v>#REF!</v>
      </c>
      <c r="BD7" s="306" t="e">
        <f>63*(#REF!-38)/1000000</f>
        <v>#REF!</v>
      </c>
      <c r="BE7" s="306" t="e">
        <f>(#REF!-10)*(#REF!-35)/1000000</f>
        <v>#REF!</v>
      </c>
    </row>
    <row r="8" spans="1:57" ht="14.25" customHeight="1" x14ac:dyDescent="0.25">
      <c r="A8" s="387"/>
      <c r="B8" s="301"/>
      <c r="C8" s="301"/>
      <c r="D8" s="301"/>
      <c r="E8" s="301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89"/>
      <c r="AL8" s="303"/>
      <c r="AO8" s="299" t="s">
        <v>447</v>
      </c>
      <c r="AP8" s="299">
        <v>550</v>
      </c>
      <c r="AQ8" s="247"/>
      <c r="AR8" s="247"/>
      <c r="AY8" s="307"/>
      <c r="BA8" s="306" t="s">
        <v>446</v>
      </c>
      <c r="BB8" s="306" t="e">
        <f>3.102+(0.796/1043*(#REF!-126))+(0.344/1080*(#REF!-90))</f>
        <v>#REF!</v>
      </c>
      <c r="BC8" s="306" t="e">
        <f>3.347+(0.796/1043*(#REF!-126))+(0.344/1080*(#REF!-90))</f>
        <v>#REF!</v>
      </c>
      <c r="BD8" s="306" t="e">
        <f>148*(#REF!-38)/1000000</f>
        <v>#REF!</v>
      </c>
      <c r="BE8" s="306" t="e">
        <f>(#REF!-10)*(#REF!-35)/1000000</f>
        <v>#REF!</v>
      </c>
    </row>
    <row r="9" spans="1:57" ht="14.25" customHeight="1" x14ac:dyDescent="0.25">
      <c r="A9" s="387"/>
      <c r="B9" s="301"/>
      <c r="C9" s="301"/>
      <c r="D9" s="301"/>
      <c r="E9" s="301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89"/>
      <c r="AL9" s="303"/>
      <c r="AP9" s="299">
        <v>600</v>
      </c>
      <c r="AQ9" s="247"/>
      <c r="AR9" s="247"/>
      <c r="BA9" s="306" t="s">
        <v>445</v>
      </c>
      <c r="BB9" s="305" t="e">
        <f>IF(#REF!=AO2,BB3,IF(#REF!=AO3,BB2,IF(#REF!=AO4,BB4,IF(#REF!=AO5,BB5,IF(#REF!=AO6,BB6,IF(#REF!=AO7,BB7,IF(#REF!=AO8,BB8,0)))))))</f>
        <v>#REF!</v>
      </c>
      <c r="BC9" s="305" t="e">
        <f>IF(#REF!=AO2,BC3,IF(#REF!=AO3,BC2,IF(#REF!=AO4,BC4,IF(#REF!=AO5,BC5,IF(#REF!=AO6,BC6,IF(#REF!=AO7,BC7,IF(#REF!=AO8,BC8,0)))))))</f>
        <v>#REF!</v>
      </c>
      <c r="BD9" s="305" t="e">
        <f>IF(#REF!=AO2,BD3,IF(#REF!=AO3,BD2,IF(#REF!=AO4,BD4,IF(#REF!=AO5,BD5,IF(#REF!=AO6,BD6,IF(#REF!=AO7,BD7,IF(#REF!=AO8,BD8,0)))))))</f>
        <v>#REF!</v>
      </c>
      <c r="BE9" s="305" t="e">
        <f>(#REF!-10)*(#REF!-35)/1000000</f>
        <v>#REF!</v>
      </c>
    </row>
    <row r="10" spans="1:57" ht="14.25" customHeight="1" x14ac:dyDescent="0.25">
      <c r="A10" s="387"/>
      <c r="B10" s="301"/>
      <c r="C10" s="301"/>
      <c r="D10" s="301"/>
      <c r="E10" s="301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89"/>
      <c r="AL10" s="303"/>
      <c r="AP10" s="299">
        <v>650</v>
      </c>
      <c r="AQ10" s="247"/>
      <c r="AR10" s="247"/>
    </row>
    <row r="11" spans="1:57" ht="43.5" customHeight="1" x14ac:dyDescent="0.25">
      <c r="A11" s="387"/>
      <c r="B11" s="301"/>
      <c r="C11" s="301"/>
      <c r="D11" s="301"/>
      <c r="E11" s="301"/>
      <c r="AK11" s="316"/>
      <c r="AP11" s="299">
        <v>700</v>
      </c>
      <c r="AQ11" s="247"/>
      <c r="AR11" s="247"/>
    </row>
    <row r="12" spans="1:57" ht="30" customHeight="1" x14ac:dyDescent="0.25">
      <c r="A12" s="391"/>
      <c r="B12" s="248"/>
      <c r="C12" s="248"/>
      <c r="D12" s="248"/>
      <c r="E12" s="1323" t="s">
        <v>410</v>
      </c>
      <c r="F12" s="1324"/>
      <c r="G12" s="1324"/>
      <c r="H12" s="1324"/>
      <c r="I12" s="1324"/>
      <c r="J12" s="1324"/>
      <c r="K12" s="1334"/>
      <c r="L12" s="248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390"/>
      <c r="AP12" s="247"/>
      <c r="AQ12" s="247"/>
      <c r="AR12" s="247"/>
    </row>
    <row r="13" spans="1:57" ht="19.5" customHeight="1" x14ac:dyDescent="0.25">
      <c r="A13" s="391"/>
      <c r="E13" s="1325"/>
      <c r="F13" s="1325"/>
      <c r="G13" s="1325"/>
      <c r="H13" s="1325"/>
      <c r="I13" s="1325"/>
      <c r="J13" s="1325"/>
      <c r="K13" s="1334"/>
      <c r="AK13" s="316"/>
    </row>
    <row r="14" spans="1:57" ht="18.75" customHeight="1" x14ac:dyDescent="0.25">
      <c r="A14" s="317"/>
      <c r="E14" s="1326" t="s">
        <v>409</v>
      </c>
      <c r="F14" s="1327"/>
      <c r="G14" s="1327"/>
      <c r="H14" s="1327"/>
      <c r="I14" s="1327"/>
      <c r="J14" s="1327"/>
      <c r="K14" s="941"/>
      <c r="AK14" s="316"/>
    </row>
    <row r="15" spans="1:57" ht="23.25" customHeight="1" x14ac:dyDescent="0.25">
      <c r="A15" s="317"/>
      <c r="E15" s="1327"/>
      <c r="F15" s="1327"/>
      <c r="G15" s="1327"/>
      <c r="H15" s="1327"/>
      <c r="I15" s="1327"/>
      <c r="J15" s="1327"/>
      <c r="K15" s="941"/>
      <c r="AK15" s="316"/>
    </row>
    <row r="16" spans="1:57" x14ac:dyDescent="0.25">
      <c r="A16" s="317"/>
      <c r="E16" s="1323" t="s">
        <v>408</v>
      </c>
      <c r="F16" s="1324"/>
      <c r="G16" s="1324"/>
      <c r="H16" s="1324"/>
      <c r="I16" s="1324"/>
      <c r="J16" s="1324"/>
      <c r="K16" s="941"/>
      <c r="AK16" s="316"/>
    </row>
    <row r="17" spans="1:37" ht="24" customHeight="1" x14ac:dyDescent="0.25">
      <c r="A17" s="317"/>
      <c r="E17" s="1325"/>
      <c r="F17" s="1325"/>
      <c r="G17" s="1325"/>
      <c r="H17" s="1325"/>
      <c r="I17" s="1325"/>
      <c r="J17" s="1325"/>
      <c r="K17" s="941"/>
      <c r="AK17" s="316"/>
    </row>
    <row r="18" spans="1:37" x14ac:dyDescent="0.25">
      <c r="A18" s="317"/>
      <c r="E18" s="1323" t="s">
        <v>407</v>
      </c>
      <c r="F18" s="1324"/>
      <c r="G18" s="1324"/>
      <c r="H18" s="1324"/>
      <c r="I18" s="1324"/>
      <c r="J18" s="1324"/>
      <c r="K18" s="941"/>
      <c r="AK18" s="316"/>
    </row>
    <row r="19" spans="1:37" ht="21.75" customHeight="1" x14ac:dyDescent="0.25">
      <c r="A19" s="317"/>
      <c r="E19" s="1325"/>
      <c r="F19" s="1325"/>
      <c r="G19" s="1325"/>
      <c r="H19" s="1325"/>
      <c r="I19" s="1325"/>
      <c r="J19" s="1325"/>
      <c r="K19" s="941"/>
      <c r="AK19" s="316"/>
    </row>
    <row r="20" spans="1:37" ht="24" customHeight="1" x14ac:dyDescent="0.25">
      <c r="A20" s="317"/>
      <c r="E20" s="1325"/>
      <c r="F20" s="1325"/>
      <c r="G20" s="1325"/>
      <c r="H20" s="1325"/>
      <c r="I20" s="1325"/>
      <c r="J20" s="1325"/>
      <c r="K20" s="941"/>
      <c r="AK20" s="316"/>
    </row>
    <row r="21" spans="1:37" ht="26.25" customHeight="1" x14ac:dyDescent="0.25">
      <c r="A21" s="317"/>
      <c r="E21" s="1328"/>
      <c r="F21" s="1329"/>
      <c r="G21" s="1329"/>
      <c r="H21" s="1329"/>
      <c r="I21" s="1329"/>
      <c r="J21" s="1329"/>
      <c r="AK21" s="316"/>
    </row>
    <row r="22" spans="1:37" ht="26.25" customHeight="1" x14ac:dyDescent="0.25">
      <c r="A22" s="317"/>
      <c r="E22" s="1328"/>
      <c r="F22" s="1329"/>
      <c r="G22" s="1329"/>
      <c r="H22" s="1329"/>
      <c r="I22" s="1329"/>
      <c r="J22" s="1329"/>
      <c r="AK22" s="316"/>
    </row>
    <row r="23" spans="1:37" x14ac:dyDescent="0.25">
      <c r="A23" s="317"/>
      <c r="AK23" s="316"/>
    </row>
    <row r="24" spans="1:37" x14ac:dyDescent="0.25">
      <c r="A24" s="317"/>
      <c r="E24" s="1321"/>
      <c r="F24" s="1322"/>
      <c r="G24" s="1322"/>
      <c r="H24" s="1322"/>
      <c r="I24" s="1322"/>
      <c r="J24" s="1322"/>
      <c r="AK24" s="316"/>
    </row>
    <row r="25" spans="1:37" x14ac:dyDescent="0.25">
      <c r="A25" s="317"/>
      <c r="E25" s="1321"/>
      <c r="F25" s="1322"/>
      <c r="G25" s="1322"/>
      <c r="H25" s="1322"/>
      <c r="I25" s="1322"/>
      <c r="J25" s="1322"/>
      <c r="AK25" s="316"/>
    </row>
    <row r="26" spans="1:37" x14ac:dyDescent="0.25">
      <c r="A26" s="317"/>
      <c r="E26" s="1321"/>
      <c r="F26" s="1322"/>
      <c r="G26" s="1322"/>
      <c r="H26" s="1322"/>
      <c r="I26" s="1322"/>
      <c r="J26" s="1322"/>
      <c r="AK26" s="316"/>
    </row>
    <row r="27" spans="1:37" x14ac:dyDescent="0.25">
      <c r="A27" s="317"/>
      <c r="AK27" s="316"/>
    </row>
    <row r="28" spans="1:37" x14ac:dyDescent="0.25">
      <c r="A28" s="317"/>
      <c r="AK28" s="316"/>
    </row>
    <row r="29" spans="1:37" x14ac:dyDescent="0.25">
      <c r="A29" s="317"/>
      <c r="AK29" s="316"/>
    </row>
    <row r="30" spans="1:37" x14ac:dyDescent="0.25">
      <c r="A30" s="317"/>
      <c r="AK30" s="316"/>
    </row>
    <row r="31" spans="1:37" x14ac:dyDescent="0.25">
      <c r="A31" s="317"/>
      <c r="AK31" s="316"/>
    </row>
    <row r="32" spans="1:37" x14ac:dyDescent="0.25">
      <c r="A32" s="317"/>
      <c r="AK32" s="316"/>
    </row>
    <row r="33" spans="1:37" x14ac:dyDescent="0.25">
      <c r="A33" s="317"/>
      <c r="AK33" s="316"/>
    </row>
    <row r="34" spans="1:37" x14ac:dyDescent="0.25">
      <c r="A34" s="317"/>
      <c r="AK34" s="316"/>
    </row>
    <row r="35" spans="1:37" x14ac:dyDescent="0.25">
      <c r="A35" s="317"/>
      <c r="AK35" s="316"/>
    </row>
    <row r="36" spans="1:37" x14ac:dyDescent="0.25">
      <c r="A36" s="317"/>
      <c r="AK36" s="316"/>
    </row>
    <row r="37" spans="1:37" x14ac:dyDescent="0.25">
      <c r="A37" s="317"/>
      <c r="AK37" s="316"/>
    </row>
    <row r="38" spans="1:37" x14ac:dyDescent="0.25">
      <c r="A38" s="317"/>
      <c r="AK38" s="316"/>
    </row>
    <row r="39" spans="1:37" x14ac:dyDescent="0.25">
      <c r="A39" s="317"/>
      <c r="AK39" s="316"/>
    </row>
    <row r="40" spans="1:37" x14ac:dyDescent="0.25">
      <c r="A40" s="317"/>
      <c r="AK40" s="316"/>
    </row>
    <row r="41" spans="1:37" x14ac:dyDescent="0.25">
      <c r="A41" s="317"/>
      <c r="AK41" s="316"/>
    </row>
    <row r="42" spans="1:37" x14ac:dyDescent="0.25">
      <c r="A42" s="317"/>
      <c r="AK42" s="316"/>
    </row>
    <row r="43" spans="1:37" x14ac:dyDescent="0.25">
      <c r="A43" s="317"/>
      <c r="AK43" s="316"/>
    </row>
    <row r="44" spans="1:37" x14ac:dyDescent="0.25">
      <c r="A44" s="317"/>
      <c r="AK44" s="316"/>
    </row>
    <row r="45" spans="1:37" x14ac:dyDescent="0.25">
      <c r="A45" s="317"/>
      <c r="AK45" s="316"/>
    </row>
    <row r="46" spans="1:37" x14ac:dyDescent="0.25">
      <c r="A46" s="317"/>
      <c r="AK46" s="316"/>
    </row>
    <row r="47" spans="1:37" x14ac:dyDescent="0.25">
      <c r="A47" s="317"/>
      <c r="AK47" s="316"/>
    </row>
    <row r="48" spans="1:37" x14ac:dyDescent="0.25">
      <c r="A48" s="317"/>
      <c r="AK48" s="316"/>
    </row>
    <row r="49" spans="1:37" x14ac:dyDescent="0.25">
      <c r="A49" s="317"/>
      <c r="AK49" s="316"/>
    </row>
    <row r="50" spans="1:37" x14ac:dyDescent="0.25">
      <c r="A50" s="317"/>
      <c r="AK50" s="316"/>
    </row>
    <row r="51" spans="1:37" x14ac:dyDescent="0.25">
      <c r="A51" s="317"/>
      <c r="AK51" s="316"/>
    </row>
    <row r="52" spans="1:37" x14ac:dyDescent="0.25">
      <c r="A52" s="317"/>
      <c r="AK52" s="316"/>
    </row>
    <row r="53" spans="1:37" x14ac:dyDescent="0.25">
      <c r="A53" s="317"/>
      <c r="AK53" s="316"/>
    </row>
    <row r="54" spans="1:37" x14ac:dyDescent="0.25">
      <c r="A54" s="317"/>
      <c r="AK54" s="316"/>
    </row>
    <row r="55" spans="1:37" x14ac:dyDescent="0.25">
      <c r="A55" s="317"/>
      <c r="AK55" s="316"/>
    </row>
    <row r="56" spans="1:37" x14ac:dyDescent="0.25">
      <c r="A56" s="317"/>
      <c r="AK56" s="316"/>
    </row>
    <row r="57" spans="1:37" x14ac:dyDescent="0.25">
      <c r="A57" s="317"/>
      <c r="AK57" s="316"/>
    </row>
    <row r="58" spans="1:37" x14ac:dyDescent="0.25">
      <c r="A58" s="317"/>
      <c r="AK58" s="316"/>
    </row>
    <row r="59" spans="1:37" x14ac:dyDescent="0.25">
      <c r="A59" s="317"/>
      <c r="AK59" s="316"/>
    </row>
    <row r="60" spans="1:37" x14ac:dyDescent="0.25">
      <c r="A60" s="317"/>
      <c r="AK60" s="316"/>
    </row>
    <row r="61" spans="1:37" x14ac:dyDescent="0.25">
      <c r="A61" s="317"/>
      <c r="AK61" s="316"/>
    </row>
    <row r="62" spans="1:37" x14ac:dyDescent="0.25">
      <c r="A62" s="317"/>
      <c r="AK62" s="316"/>
    </row>
    <row r="63" spans="1:37" x14ac:dyDescent="0.25">
      <c r="A63" s="317"/>
      <c r="AK63" s="316"/>
    </row>
    <row r="64" spans="1:37" x14ac:dyDescent="0.25">
      <c r="A64" s="317"/>
      <c r="AK64" s="316"/>
    </row>
    <row r="65" spans="1:37" x14ac:dyDescent="0.25">
      <c r="A65" s="317"/>
      <c r="AK65" s="316"/>
    </row>
    <row r="66" spans="1:37" x14ac:dyDescent="0.25">
      <c r="A66" s="317"/>
      <c r="AK66" s="316"/>
    </row>
    <row r="67" spans="1:37" x14ac:dyDescent="0.25">
      <c r="A67" s="317"/>
      <c r="AK67" s="316"/>
    </row>
    <row r="68" spans="1:37" x14ac:dyDescent="0.25">
      <c r="A68" s="317"/>
      <c r="AK68" s="316"/>
    </row>
    <row r="69" spans="1:37" x14ac:dyDescent="0.25">
      <c r="A69" s="317"/>
      <c r="AK69" s="316"/>
    </row>
    <row r="70" spans="1:37" x14ac:dyDescent="0.25">
      <c r="A70" s="317"/>
      <c r="AK70" s="316"/>
    </row>
    <row r="71" spans="1:37" x14ac:dyDescent="0.25">
      <c r="A71" s="317"/>
      <c r="AK71" s="316"/>
    </row>
    <row r="72" spans="1:37" x14ac:dyDescent="0.25">
      <c r="A72" s="317"/>
      <c r="AK72" s="316"/>
    </row>
    <row r="73" spans="1:37" x14ac:dyDescent="0.25">
      <c r="A73" s="317"/>
      <c r="AK73" s="316"/>
    </row>
    <row r="74" spans="1:37" x14ac:dyDescent="0.25">
      <c r="A74" s="317"/>
      <c r="AK74" s="316"/>
    </row>
    <row r="75" spans="1:37" x14ac:dyDescent="0.25">
      <c r="A75" s="317"/>
      <c r="AK75" s="316"/>
    </row>
    <row r="76" spans="1:37" x14ac:dyDescent="0.25">
      <c r="A76" s="317"/>
      <c r="AK76" s="316"/>
    </row>
    <row r="77" spans="1:37" x14ac:dyDescent="0.25">
      <c r="A77" s="317"/>
      <c r="AK77" s="316"/>
    </row>
    <row r="78" spans="1:37" x14ac:dyDescent="0.25">
      <c r="A78" s="317"/>
      <c r="AK78" s="316"/>
    </row>
    <row r="79" spans="1:37" x14ac:dyDescent="0.25">
      <c r="A79" s="317"/>
      <c r="AK79" s="316"/>
    </row>
    <row r="80" spans="1:37" x14ac:dyDescent="0.25">
      <c r="A80" s="317"/>
      <c r="AK80" s="316"/>
    </row>
    <row r="81" spans="1:37" x14ac:dyDescent="0.25">
      <c r="A81" s="317"/>
      <c r="AK81" s="316"/>
    </row>
    <row r="82" spans="1:37" x14ac:dyDescent="0.25">
      <c r="A82" s="317"/>
      <c r="AK82" s="316"/>
    </row>
    <row r="83" spans="1:37" x14ac:dyDescent="0.25">
      <c r="A83" s="317"/>
      <c r="AK83" s="316"/>
    </row>
    <row r="84" spans="1:37" x14ac:dyDescent="0.25">
      <c r="A84" s="317"/>
      <c r="AK84" s="316"/>
    </row>
    <row r="85" spans="1:37" x14ac:dyDescent="0.25">
      <c r="A85" s="317"/>
      <c r="AK85" s="316"/>
    </row>
    <row r="86" spans="1:37" x14ac:dyDescent="0.25">
      <c r="A86" s="317"/>
      <c r="AK86" s="316"/>
    </row>
    <row r="87" spans="1:37" x14ac:dyDescent="0.25">
      <c r="A87" s="317"/>
      <c r="AK87" s="316"/>
    </row>
    <row r="88" spans="1:37" x14ac:dyDescent="0.25">
      <c r="A88" s="317"/>
      <c r="AK88" s="316"/>
    </row>
    <row r="89" spans="1:37" x14ac:dyDescent="0.25">
      <c r="A89" s="317"/>
      <c r="AK89" s="316"/>
    </row>
    <row r="90" spans="1:37" x14ac:dyDescent="0.25">
      <c r="A90" s="317"/>
      <c r="AK90" s="316"/>
    </row>
    <row r="91" spans="1:37" x14ac:dyDescent="0.25">
      <c r="A91" s="317"/>
      <c r="AK91" s="316"/>
    </row>
    <row r="92" spans="1:37" x14ac:dyDescent="0.25">
      <c r="A92" s="317"/>
      <c r="AK92" s="316"/>
    </row>
    <row r="93" spans="1:37" x14ac:dyDescent="0.25">
      <c r="A93" s="317"/>
      <c r="AK93" s="316"/>
    </row>
    <row r="94" spans="1:37" x14ac:dyDescent="0.25">
      <c r="A94" s="317"/>
      <c r="AK94" s="316"/>
    </row>
    <row r="95" spans="1:37" x14ac:dyDescent="0.25">
      <c r="A95" s="317"/>
      <c r="AK95" s="316"/>
    </row>
    <row r="96" spans="1:37" x14ac:dyDescent="0.25">
      <c r="A96" s="317"/>
      <c r="AK96" s="316"/>
    </row>
    <row r="97" spans="1:37" x14ac:dyDescent="0.25">
      <c r="A97" s="317"/>
      <c r="AK97" s="316"/>
    </row>
    <row r="98" spans="1:37" x14ac:dyDescent="0.25">
      <c r="A98" s="317"/>
      <c r="AK98" s="316"/>
    </row>
    <row r="99" spans="1:37" x14ac:dyDescent="0.25">
      <c r="A99" s="317"/>
      <c r="AK99" s="316"/>
    </row>
    <row r="100" spans="1:37" x14ac:dyDescent="0.25">
      <c r="A100" s="317"/>
      <c r="AK100" s="316"/>
    </row>
    <row r="101" spans="1:37" x14ac:dyDescent="0.25">
      <c r="A101" s="317"/>
      <c r="AK101" s="316"/>
    </row>
    <row r="102" spans="1:37" x14ac:dyDescent="0.25">
      <c r="A102" s="317"/>
      <c r="AK102" s="316"/>
    </row>
    <row r="103" spans="1:37" x14ac:dyDescent="0.25">
      <c r="A103" s="317"/>
      <c r="AK103" s="316"/>
    </row>
    <row r="104" spans="1:37" x14ac:dyDescent="0.25">
      <c r="A104" s="317"/>
      <c r="AK104" s="316"/>
    </row>
    <row r="105" spans="1:37" x14ac:dyDescent="0.25">
      <c r="A105" s="317"/>
      <c r="AK105" s="316"/>
    </row>
    <row r="106" spans="1:37" x14ac:dyDescent="0.25">
      <c r="A106" s="317"/>
      <c r="AK106" s="316"/>
    </row>
    <row r="107" spans="1:37" x14ac:dyDescent="0.25">
      <c r="A107" s="317"/>
      <c r="AK107" s="316"/>
    </row>
    <row r="108" spans="1:37" x14ac:dyDescent="0.25">
      <c r="A108" s="317"/>
      <c r="AK108" s="316"/>
    </row>
    <row r="109" spans="1:37" x14ac:dyDescent="0.25">
      <c r="A109" s="317"/>
      <c r="AK109" s="316"/>
    </row>
    <row r="110" spans="1:37" x14ac:dyDescent="0.25">
      <c r="A110" s="317"/>
      <c r="AK110" s="316"/>
    </row>
    <row r="111" spans="1:37" x14ac:dyDescent="0.25">
      <c r="A111" s="317"/>
      <c r="AK111" s="316"/>
    </row>
    <row r="112" spans="1:37" x14ac:dyDescent="0.25">
      <c r="A112" s="317"/>
      <c r="AK112" s="316"/>
    </row>
    <row r="113" spans="1:37" x14ac:dyDescent="0.25">
      <c r="A113" s="317"/>
      <c r="AK113" s="316"/>
    </row>
    <row r="114" spans="1:37" x14ac:dyDescent="0.25">
      <c r="A114" s="317"/>
      <c r="AK114" s="316"/>
    </row>
    <row r="115" spans="1:37" x14ac:dyDescent="0.25">
      <c r="A115" s="317"/>
      <c r="AK115" s="316"/>
    </row>
    <row r="116" spans="1:37" x14ac:dyDescent="0.25">
      <c r="A116" s="317"/>
      <c r="AK116" s="316"/>
    </row>
    <row r="117" spans="1:37" x14ac:dyDescent="0.25">
      <c r="A117" s="317"/>
      <c r="AK117" s="316"/>
    </row>
    <row r="118" spans="1:37" x14ac:dyDescent="0.25">
      <c r="A118" s="317"/>
      <c r="AK118" s="316"/>
    </row>
    <row r="119" spans="1:37" x14ac:dyDescent="0.25">
      <c r="A119" s="317"/>
      <c r="AK119" s="316"/>
    </row>
    <row r="120" spans="1:37" x14ac:dyDescent="0.25">
      <c r="A120" s="317"/>
      <c r="AK120" s="316"/>
    </row>
    <row r="121" spans="1:37" x14ac:dyDescent="0.25">
      <c r="A121" s="317"/>
      <c r="AK121" s="316"/>
    </row>
    <row r="122" spans="1:37" x14ac:dyDescent="0.25">
      <c r="A122" s="317"/>
      <c r="AK122" s="316"/>
    </row>
    <row r="123" spans="1:37" x14ac:dyDescent="0.25">
      <c r="A123" s="317"/>
      <c r="AK123" s="316"/>
    </row>
    <row r="124" spans="1:37" x14ac:dyDescent="0.25">
      <c r="A124" s="317"/>
      <c r="AK124" s="316"/>
    </row>
    <row r="125" spans="1:37" x14ac:dyDescent="0.25">
      <c r="A125" s="317"/>
      <c r="AK125" s="316"/>
    </row>
    <row r="126" spans="1:37" x14ac:dyDescent="0.25">
      <c r="A126" s="317"/>
      <c r="AK126" s="316"/>
    </row>
    <row r="127" spans="1:37" x14ac:dyDescent="0.25">
      <c r="A127" s="317"/>
      <c r="AK127" s="316"/>
    </row>
    <row r="128" spans="1:37" x14ac:dyDescent="0.25">
      <c r="A128" s="317"/>
      <c r="AK128" s="316"/>
    </row>
    <row r="129" spans="1:37" x14ac:dyDescent="0.25">
      <c r="A129" s="317"/>
      <c r="AK129" s="316"/>
    </row>
    <row r="130" spans="1:37" x14ac:dyDescent="0.25">
      <c r="A130" s="317"/>
      <c r="AK130" s="316"/>
    </row>
    <row r="131" spans="1:37" x14ac:dyDescent="0.25">
      <c r="A131" s="317"/>
      <c r="AK131" s="316"/>
    </row>
    <row r="132" spans="1:37" x14ac:dyDescent="0.25">
      <c r="A132" s="317"/>
      <c r="AK132" s="316"/>
    </row>
    <row r="133" spans="1:37" x14ac:dyDescent="0.25">
      <c r="A133" s="317"/>
      <c r="AK133" s="316"/>
    </row>
    <row r="134" spans="1:37" x14ac:dyDescent="0.25">
      <c r="A134" s="317"/>
      <c r="AK134" s="316"/>
    </row>
    <row r="135" spans="1:37" x14ac:dyDescent="0.25">
      <c r="A135" s="317"/>
      <c r="AK135" s="316"/>
    </row>
    <row r="136" spans="1:37" x14ac:dyDescent="0.25">
      <c r="A136" s="317"/>
      <c r="AK136" s="316"/>
    </row>
    <row r="137" spans="1:37" x14ac:dyDescent="0.25">
      <c r="A137" s="317"/>
      <c r="AK137" s="316"/>
    </row>
    <row r="138" spans="1:37" x14ac:dyDescent="0.25">
      <c r="A138" s="317"/>
      <c r="AK138" s="316"/>
    </row>
    <row r="139" spans="1:37" x14ac:dyDescent="0.25">
      <c r="A139" s="317"/>
      <c r="AK139" s="316"/>
    </row>
    <row r="140" spans="1:37" x14ac:dyDescent="0.25">
      <c r="A140" s="317"/>
      <c r="AK140" s="316"/>
    </row>
    <row r="141" spans="1:37" x14ac:dyDescent="0.25">
      <c r="A141" s="317"/>
      <c r="AK141" s="316"/>
    </row>
    <row r="142" spans="1:37" x14ac:dyDescent="0.25">
      <c r="A142" s="317"/>
      <c r="AK142" s="316"/>
    </row>
    <row r="143" spans="1:37" x14ac:dyDescent="0.25">
      <c r="A143" s="317"/>
      <c r="AK143" s="316"/>
    </row>
    <row r="144" spans="1:37" x14ac:dyDescent="0.25">
      <c r="A144" s="317"/>
      <c r="AK144" s="316"/>
    </row>
    <row r="145" spans="1:37" x14ac:dyDescent="0.25">
      <c r="A145" s="317"/>
      <c r="AK145" s="316"/>
    </row>
    <row r="146" spans="1:37" x14ac:dyDescent="0.25">
      <c r="A146" s="317"/>
      <c r="AK146" s="316"/>
    </row>
    <row r="147" spans="1:37" x14ac:dyDescent="0.25">
      <c r="A147" s="317"/>
      <c r="AK147" s="316"/>
    </row>
    <row r="148" spans="1:37" x14ac:dyDescent="0.25">
      <c r="A148" s="317"/>
      <c r="AK148" s="316"/>
    </row>
    <row r="149" spans="1:37" x14ac:dyDescent="0.25">
      <c r="A149" s="317"/>
      <c r="AK149" s="316"/>
    </row>
    <row r="150" spans="1:37" x14ac:dyDescent="0.25">
      <c r="A150" s="317"/>
      <c r="AK150" s="316"/>
    </row>
    <row r="151" spans="1:37" x14ac:dyDescent="0.25">
      <c r="A151" s="317"/>
      <c r="AK151" s="316"/>
    </row>
    <row r="152" spans="1:37" x14ac:dyDescent="0.25">
      <c r="A152" s="317"/>
      <c r="AK152" s="316"/>
    </row>
    <row r="153" spans="1:37" x14ac:dyDescent="0.25">
      <c r="A153" s="317"/>
      <c r="AK153" s="316"/>
    </row>
    <row r="154" spans="1:37" x14ac:dyDescent="0.25">
      <c r="A154" s="317"/>
      <c r="AK154" s="316"/>
    </row>
    <row r="155" spans="1:37" x14ac:dyDescent="0.25">
      <c r="A155" s="317"/>
      <c r="AK155" s="316"/>
    </row>
    <row r="156" spans="1:37" x14ac:dyDescent="0.25">
      <c r="A156" s="317"/>
      <c r="AK156" s="316"/>
    </row>
    <row r="157" spans="1:37" x14ac:dyDescent="0.25">
      <c r="A157" s="317"/>
      <c r="AK157" s="316"/>
    </row>
    <row r="158" spans="1:37" x14ac:dyDescent="0.25">
      <c r="A158" s="317"/>
      <c r="AK158" s="316"/>
    </row>
    <row r="159" spans="1:37" x14ac:dyDescent="0.25">
      <c r="A159" s="317"/>
      <c r="AK159" s="316"/>
    </row>
    <row r="160" spans="1:37" x14ac:dyDescent="0.25">
      <c r="A160" s="317"/>
      <c r="AK160" s="316"/>
    </row>
    <row r="161" spans="1:37" x14ac:dyDescent="0.25">
      <c r="A161" s="317"/>
      <c r="AK161" s="316"/>
    </row>
    <row r="162" spans="1:37" x14ac:dyDescent="0.25">
      <c r="A162" s="317"/>
      <c r="AK162" s="316"/>
    </row>
    <row r="163" spans="1:37" x14ac:dyDescent="0.25">
      <c r="A163" s="317"/>
      <c r="AK163" s="316"/>
    </row>
    <row r="164" spans="1:37" x14ac:dyDescent="0.25">
      <c r="A164" s="317"/>
      <c r="AK164" s="316"/>
    </row>
    <row r="165" spans="1:37" x14ac:dyDescent="0.25">
      <c r="A165" s="317"/>
      <c r="AK165" s="316"/>
    </row>
    <row r="166" spans="1:37" x14ac:dyDescent="0.25">
      <c r="A166" s="317"/>
      <c r="AK166" s="316"/>
    </row>
    <row r="167" spans="1:37" x14ac:dyDescent="0.25">
      <c r="A167" s="317"/>
      <c r="AK167" s="316"/>
    </row>
    <row r="168" spans="1:37" x14ac:dyDescent="0.25">
      <c r="A168" s="317"/>
      <c r="AK168" s="316"/>
    </row>
    <row r="169" spans="1:37" x14ac:dyDescent="0.25">
      <c r="A169" s="317"/>
      <c r="AK169" s="316"/>
    </row>
    <row r="170" spans="1:37" x14ac:dyDescent="0.25">
      <c r="A170" s="317"/>
      <c r="AK170" s="316"/>
    </row>
    <row r="171" spans="1:37" x14ac:dyDescent="0.25">
      <c r="A171" s="317"/>
      <c r="AK171" s="316"/>
    </row>
    <row r="172" spans="1:37" x14ac:dyDescent="0.25">
      <c r="A172" s="317"/>
      <c r="AK172" s="316"/>
    </row>
    <row r="173" spans="1:37" x14ac:dyDescent="0.25">
      <c r="A173" s="317"/>
      <c r="AK173" s="316"/>
    </row>
    <row r="174" spans="1:37" x14ac:dyDescent="0.25">
      <c r="A174" s="317"/>
      <c r="AK174" s="316"/>
    </row>
    <row r="175" spans="1:37" x14ac:dyDescent="0.25">
      <c r="A175" s="317"/>
      <c r="AK175" s="316"/>
    </row>
    <row r="176" spans="1:37" x14ac:dyDescent="0.25">
      <c r="A176" s="317"/>
      <c r="AK176" s="316"/>
    </row>
    <row r="177" spans="1:37" x14ac:dyDescent="0.25">
      <c r="A177" s="317"/>
      <c r="AK177" s="316"/>
    </row>
    <row r="178" spans="1:37" x14ac:dyDescent="0.25">
      <c r="A178" s="317"/>
      <c r="AK178" s="316"/>
    </row>
    <row r="179" spans="1:37" x14ac:dyDescent="0.25">
      <c r="A179" s="317"/>
      <c r="AK179" s="316"/>
    </row>
    <row r="180" spans="1:37" x14ac:dyDescent="0.25">
      <c r="A180" s="317"/>
      <c r="AK180" s="316"/>
    </row>
    <row r="181" spans="1:37" x14ac:dyDescent="0.25">
      <c r="A181" s="317"/>
      <c r="AK181" s="316"/>
    </row>
    <row r="182" spans="1:37" x14ac:dyDescent="0.25">
      <c r="A182" s="317"/>
      <c r="AK182" s="316"/>
    </row>
    <row r="183" spans="1:37" x14ac:dyDescent="0.25">
      <c r="A183" s="317"/>
      <c r="AK183" s="316"/>
    </row>
    <row r="184" spans="1:37" x14ac:dyDescent="0.25">
      <c r="A184" s="317"/>
      <c r="AK184" s="316"/>
    </row>
    <row r="185" spans="1:37" x14ac:dyDescent="0.25">
      <c r="A185" s="317"/>
      <c r="AK185" s="316"/>
    </row>
    <row r="186" spans="1:37" x14ac:dyDescent="0.25">
      <c r="A186" s="317"/>
      <c r="AK186" s="316"/>
    </row>
    <row r="187" spans="1:37" x14ac:dyDescent="0.25">
      <c r="A187" s="317"/>
      <c r="AK187" s="316"/>
    </row>
    <row r="188" spans="1:37" x14ac:dyDescent="0.25">
      <c r="A188" s="317"/>
      <c r="AK188" s="316"/>
    </row>
    <row r="189" spans="1:37" x14ac:dyDescent="0.25">
      <c r="A189" s="317"/>
      <c r="AK189" s="316"/>
    </row>
    <row r="190" spans="1:37" x14ac:dyDescent="0.25">
      <c r="A190" s="317"/>
      <c r="AK190" s="316"/>
    </row>
    <row r="191" spans="1:37" x14ac:dyDescent="0.25">
      <c r="A191" s="317"/>
      <c r="AK191" s="316"/>
    </row>
    <row r="192" spans="1:37" x14ac:dyDescent="0.25">
      <c r="A192" s="317"/>
      <c r="AK192" s="316"/>
    </row>
    <row r="193" spans="1:37" x14ac:dyDescent="0.25">
      <c r="A193" s="317"/>
      <c r="AK193" s="316"/>
    </row>
    <row r="194" spans="1:37" x14ac:dyDescent="0.25">
      <c r="A194" s="317"/>
      <c r="AK194" s="316"/>
    </row>
    <row r="195" spans="1:37" x14ac:dyDescent="0.25">
      <c r="A195" s="317"/>
      <c r="AK195" s="316"/>
    </row>
    <row r="196" spans="1:37" x14ac:dyDescent="0.25">
      <c r="A196" s="317"/>
      <c r="AK196" s="316"/>
    </row>
    <row r="197" spans="1:37" x14ac:dyDescent="0.25">
      <c r="A197" s="317"/>
      <c r="AK197" s="316"/>
    </row>
    <row r="198" spans="1:37" x14ac:dyDescent="0.25">
      <c r="A198" s="317"/>
      <c r="AK198" s="316"/>
    </row>
    <row r="199" spans="1:37" x14ac:dyDescent="0.25">
      <c r="A199" s="317"/>
      <c r="AK199" s="316"/>
    </row>
    <row r="200" spans="1:37" x14ac:dyDescent="0.25">
      <c r="A200" s="317"/>
      <c r="AK200" s="316"/>
    </row>
    <row r="201" spans="1:37" x14ac:dyDescent="0.25">
      <c r="A201" s="317"/>
      <c r="AK201" s="316"/>
    </row>
    <row r="202" spans="1:37" x14ac:dyDescent="0.25">
      <c r="A202" s="317"/>
      <c r="AK202" s="316"/>
    </row>
    <row r="203" spans="1:37" x14ac:dyDescent="0.25">
      <c r="A203" s="317"/>
      <c r="AK203" s="316"/>
    </row>
    <row r="204" spans="1:37" x14ac:dyDescent="0.25">
      <c r="A204" s="317"/>
      <c r="AK204" s="316"/>
    </row>
    <row r="205" spans="1:37" x14ac:dyDescent="0.25">
      <c r="A205" s="317"/>
      <c r="AK205" s="316"/>
    </row>
    <row r="206" spans="1:37" x14ac:dyDescent="0.25">
      <c r="A206" s="317"/>
      <c r="AK206" s="316"/>
    </row>
    <row r="207" spans="1:37" x14ac:dyDescent="0.25">
      <c r="A207" s="317"/>
      <c r="AK207" s="316"/>
    </row>
    <row r="208" spans="1:37" x14ac:dyDescent="0.25">
      <c r="A208" s="317"/>
      <c r="AK208" s="316"/>
    </row>
    <row r="209" spans="1:37" x14ac:dyDescent="0.25">
      <c r="A209" s="317"/>
      <c r="AK209" s="316"/>
    </row>
    <row r="210" spans="1:37" x14ac:dyDescent="0.25">
      <c r="A210" s="317"/>
      <c r="AK210" s="316"/>
    </row>
    <row r="211" spans="1:37" x14ac:dyDescent="0.25">
      <c r="A211" s="317"/>
      <c r="AK211" s="316"/>
    </row>
    <row r="212" spans="1:37" x14ac:dyDescent="0.25">
      <c r="A212" s="317"/>
      <c r="AK212" s="316"/>
    </row>
    <row r="213" spans="1:37" x14ac:dyDescent="0.25">
      <c r="A213" s="317"/>
      <c r="AK213" s="316"/>
    </row>
    <row r="214" spans="1:37" x14ac:dyDescent="0.25">
      <c r="A214" s="317"/>
      <c r="AK214" s="316"/>
    </row>
    <row r="215" spans="1:37" x14ac:dyDescent="0.25">
      <c r="A215" s="317"/>
      <c r="AK215" s="316"/>
    </row>
    <row r="216" spans="1:37" x14ac:dyDescent="0.25">
      <c r="A216" s="317"/>
      <c r="AK216" s="316"/>
    </row>
    <row r="217" spans="1:37" x14ac:dyDescent="0.25">
      <c r="A217" s="317"/>
      <c r="AK217" s="316"/>
    </row>
    <row r="218" spans="1:37" x14ac:dyDescent="0.25">
      <c r="A218" s="317"/>
      <c r="AK218" s="316"/>
    </row>
    <row r="219" spans="1:37" x14ac:dyDescent="0.25">
      <c r="A219" s="317"/>
      <c r="AK219" s="316"/>
    </row>
    <row r="220" spans="1:37" x14ac:dyDescent="0.25">
      <c r="A220" s="317"/>
      <c r="AK220" s="316"/>
    </row>
    <row r="221" spans="1:37" x14ac:dyDescent="0.25">
      <c r="A221" s="317"/>
      <c r="AK221" s="316"/>
    </row>
    <row r="222" spans="1:37" x14ac:dyDescent="0.25">
      <c r="A222" s="317"/>
      <c r="AK222" s="316"/>
    </row>
    <row r="223" spans="1:37" x14ac:dyDescent="0.25">
      <c r="A223" s="317"/>
      <c r="AK223" s="316"/>
    </row>
    <row r="224" spans="1:37" x14ac:dyDescent="0.25">
      <c r="A224" s="317"/>
      <c r="AK224" s="316"/>
    </row>
    <row r="225" spans="1:37" x14ac:dyDescent="0.25">
      <c r="A225" s="317"/>
      <c r="AK225" s="316"/>
    </row>
    <row r="226" spans="1:37" x14ac:dyDescent="0.25">
      <c r="A226" s="317"/>
      <c r="AK226" s="316"/>
    </row>
    <row r="227" spans="1:37" x14ac:dyDescent="0.25">
      <c r="A227" s="317"/>
      <c r="AK227" s="316"/>
    </row>
    <row r="228" spans="1:37" x14ac:dyDescent="0.25">
      <c r="A228" s="317"/>
      <c r="AK228" s="316"/>
    </row>
    <row r="229" spans="1:37" x14ac:dyDescent="0.25">
      <c r="A229" s="317"/>
      <c r="AK229" s="316"/>
    </row>
    <row r="230" spans="1:37" x14ac:dyDescent="0.25">
      <c r="A230" s="317"/>
      <c r="AK230" s="316"/>
    </row>
    <row r="231" spans="1:37" x14ac:dyDescent="0.25">
      <c r="A231" s="317"/>
      <c r="AK231" s="316"/>
    </row>
    <row r="232" spans="1:37" x14ac:dyDescent="0.25">
      <c r="A232" s="317"/>
      <c r="AK232" s="316"/>
    </row>
    <row r="233" spans="1:37" x14ac:dyDescent="0.25">
      <c r="A233" s="317"/>
      <c r="AK233" s="316"/>
    </row>
    <row r="234" spans="1:37" x14ac:dyDescent="0.25">
      <c r="A234" s="317"/>
      <c r="AK234" s="316"/>
    </row>
    <row r="235" spans="1:37" x14ac:dyDescent="0.25">
      <c r="A235" s="317"/>
      <c r="AK235" s="316"/>
    </row>
    <row r="236" spans="1:37" x14ac:dyDescent="0.25">
      <c r="A236" s="317"/>
      <c r="AK236" s="316"/>
    </row>
    <row r="237" spans="1:37" x14ac:dyDescent="0.25">
      <c r="A237" s="317"/>
      <c r="AK237" s="316"/>
    </row>
    <row r="238" spans="1:37" x14ac:dyDescent="0.25">
      <c r="A238" s="317"/>
      <c r="AK238" s="316"/>
    </row>
    <row r="239" spans="1:37" x14ac:dyDescent="0.25">
      <c r="A239" s="317"/>
      <c r="AK239" s="316"/>
    </row>
    <row r="240" spans="1:37" x14ac:dyDescent="0.25">
      <c r="A240" s="317"/>
      <c r="AK240" s="316"/>
    </row>
    <row r="241" spans="1:37" x14ac:dyDescent="0.25">
      <c r="A241" s="317"/>
      <c r="AK241" s="316"/>
    </row>
    <row r="242" spans="1:37" x14ac:dyDescent="0.25">
      <c r="A242" s="317"/>
      <c r="AK242" s="316"/>
    </row>
    <row r="243" spans="1:37" x14ac:dyDescent="0.25">
      <c r="A243" s="317"/>
      <c r="AK243" s="316"/>
    </row>
    <row r="244" spans="1:37" x14ac:dyDescent="0.25">
      <c r="A244" s="317"/>
      <c r="AK244" s="316"/>
    </row>
    <row r="245" spans="1:37" x14ac:dyDescent="0.25">
      <c r="A245" s="317"/>
      <c r="AK245" s="316"/>
    </row>
    <row r="246" spans="1:37" x14ac:dyDescent="0.25">
      <c r="A246" s="317"/>
      <c r="AK246" s="316"/>
    </row>
    <row r="247" spans="1:37" x14ac:dyDescent="0.25">
      <c r="A247" s="317"/>
      <c r="AK247" s="316"/>
    </row>
    <row r="248" spans="1:37" x14ac:dyDescent="0.25">
      <c r="A248" s="317"/>
      <c r="AK248" s="316"/>
    </row>
    <row r="249" spans="1:37" x14ac:dyDescent="0.25">
      <c r="A249" s="317"/>
      <c r="AK249" s="316"/>
    </row>
    <row r="250" spans="1:37" x14ac:dyDescent="0.25">
      <c r="A250" s="317"/>
      <c r="AK250" s="316"/>
    </row>
    <row r="251" spans="1:37" x14ac:dyDescent="0.25">
      <c r="A251" s="317"/>
      <c r="AK251" s="316"/>
    </row>
    <row r="252" spans="1:37" x14ac:dyDescent="0.25">
      <c r="A252" s="317"/>
      <c r="AK252" s="316"/>
    </row>
    <row r="253" spans="1:37" x14ac:dyDescent="0.25">
      <c r="A253" s="317"/>
      <c r="AK253" s="316"/>
    </row>
    <row r="254" spans="1:37" x14ac:dyDescent="0.25">
      <c r="A254" s="317"/>
      <c r="AK254" s="316"/>
    </row>
    <row r="255" spans="1:37" x14ac:dyDescent="0.25">
      <c r="A255" s="317"/>
      <c r="AK255" s="316"/>
    </row>
    <row r="256" spans="1:37" x14ac:dyDescent="0.25">
      <c r="A256" s="317"/>
      <c r="AK256" s="316"/>
    </row>
    <row r="257" spans="1:37" x14ac:dyDescent="0.25">
      <c r="A257" s="317"/>
      <c r="AK257" s="316"/>
    </row>
    <row r="258" spans="1:37" x14ac:dyDescent="0.25">
      <c r="A258" s="317"/>
      <c r="AK258" s="316"/>
    </row>
    <row r="259" spans="1:37" x14ac:dyDescent="0.25">
      <c r="A259" s="317"/>
      <c r="AK259" s="316"/>
    </row>
    <row r="260" spans="1:37" x14ac:dyDescent="0.25">
      <c r="A260" s="317"/>
      <c r="AK260" s="316"/>
    </row>
    <row r="261" spans="1:37" x14ac:dyDescent="0.25">
      <c r="A261" s="317"/>
      <c r="AK261" s="316"/>
    </row>
    <row r="262" spans="1:37" x14ac:dyDescent="0.25">
      <c r="A262" s="317"/>
      <c r="AK262" s="316"/>
    </row>
    <row r="263" spans="1:37" x14ac:dyDescent="0.25">
      <c r="A263" s="317"/>
      <c r="AK263" s="316"/>
    </row>
    <row r="264" spans="1:37" x14ac:dyDescent="0.25">
      <c r="A264" s="317"/>
      <c r="AK264" s="316"/>
    </row>
    <row r="265" spans="1:37" x14ac:dyDescent="0.25">
      <c r="A265" s="317"/>
      <c r="AK265" s="316"/>
    </row>
    <row r="266" spans="1:37" x14ac:dyDescent="0.25">
      <c r="A266" s="317"/>
      <c r="AK266" s="316"/>
    </row>
    <row r="267" spans="1:37" x14ac:dyDescent="0.25">
      <c r="A267" s="317"/>
      <c r="AK267" s="316"/>
    </row>
    <row r="268" spans="1:37" x14ac:dyDescent="0.25">
      <c r="A268" s="317"/>
      <c r="AK268" s="316"/>
    </row>
    <row r="269" spans="1:37" x14ac:dyDescent="0.25">
      <c r="A269" s="317"/>
      <c r="AK269" s="316"/>
    </row>
    <row r="270" spans="1:37" x14ac:dyDescent="0.25">
      <c r="A270" s="317"/>
      <c r="AK270" s="316"/>
    </row>
    <row r="271" spans="1:37" x14ac:dyDescent="0.25">
      <c r="A271" s="317"/>
      <c r="AK271" s="316"/>
    </row>
    <row r="272" spans="1:37" x14ac:dyDescent="0.25">
      <c r="A272" s="317"/>
      <c r="AK272" s="316"/>
    </row>
    <row r="273" spans="1:37" x14ac:dyDescent="0.25">
      <c r="A273" s="317"/>
      <c r="AK273" s="316"/>
    </row>
    <row r="274" spans="1:37" x14ac:dyDescent="0.25">
      <c r="A274" s="317"/>
      <c r="AK274" s="316"/>
    </row>
    <row r="275" spans="1:37" x14ac:dyDescent="0.25">
      <c r="A275" s="317"/>
      <c r="AK275" s="316"/>
    </row>
    <row r="276" spans="1:37" x14ac:dyDescent="0.25">
      <c r="A276" s="317"/>
      <c r="AK276" s="316"/>
    </row>
    <row r="277" spans="1:37" x14ac:dyDescent="0.25">
      <c r="A277" s="317"/>
      <c r="AK277" s="316"/>
    </row>
    <row r="278" spans="1:37" x14ac:dyDescent="0.25">
      <c r="A278" s="317"/>
      <c r="AK278" s="316"/>
    </row>
    <row r="279" spans="1:37" x14ac:dyDescent="0.25">
      <c r="A279" s="317"/>
      <c r="AK279" s="316"/>
    </row>
    <row r="280" spans="1:37" x14ac:dyDescent="0.25">
      <c r="A280" s="317"/>
      <c r="AK280" s="316"/>
    </row>
    <row r="281" spans="1:37" x14ac:dyDescent="0.25">
      <c r="A281" s="317"/>
      <c r="AK281" s="316"/>
    </row>
    <row r="282" spans="1:37" x14ac:dyDescent="0.25">
      <c r="A282" s="317"/>
      <c r="AK282" s="316"/>
    </row>
    <row r="283" spans="1:37" x14ac:dyDescent="0.25">
      <c r="A283" s="317"/>
      <c r="AK283" s="316"/>
    </row>
    <row r="284" spans="1:37" x14ac:dyDescent="0.25">
      <c r="A284" s="317"/>
      <c r="AK284" s="316"/>
    </row>
    <row r="285" spans="1:37" x14ac:dyDescent="0.25">
      <c r="A285" s="317"/>
      <c r="AK285" s="316"/>
    </row>
    <row r="286" spans="1:37" x14ac:dyDescent="0.25">
      <c r="A286" s="317"/>
      <c r="AK286" s="316"/>
    </row>
    <row r="287" spans="1:37" x14ac:dyDescent="0.25">
      <c r="A287" s="317"/>
      <c r="AK287" s="316"/>
    </row>
    <row r="288" spans="1:37" x14ac:dyDescent="0.25">
      <c r="A288" s="317"/>
      <c r="AK288" s="316"/>
    </row>
    <row r="289" spans="1:37" x14ac:dyDescent="0.25">
      <c r="A289" s="315"/>
      <c r="B289" s="314"/>
      <c r="C289" s="314"/>
      <c r="D289" s="314"/>
      <c r="E289" s="314"/>
      <c r="F289" s="314"/>
      <c r="G289" s="314"/>
      <c r="H289" s="314"/>
      <c r="I289" s="314"/>
      <c r="J289" s="314"/>
      <c r="K289" s="314"/>
      <c r="L289" s="314"/>
      <c r="M289" s="314"/>
      <c r="N289" s="314"/>
      <c r="O289" s="314"/>
      <c r="P289" s="314"/>
      <c r="Q289" s="314"/>
      <c r="R289" s="314"/>
      <c r="S289" s="314"/>
      <c r="T289" s="314"/>
      <c r="U289" s="314"/>
      <c r="V289" s="314"/>
      <c r="W289" s="314"/>
      <c r="X289" s="314"/>
      <c r="Y289" s="314"/>
      <c r="Z289" s="314"/>
      <c r="AA289" s="314"/>
      <c r="AB289" s="314"/>
      <c r="AC289" s="314"/>
      <c r="AD289" s="314"/>
      <c r="AE289" s="314"/>
      <c r="AF289" s="314"/>
      <c r="AG289" s="314"/>
      <c r="AH289" s="314"/>
      <c r="AI289" s="314"/>
      <c r="AJ289" s="314"/>
      <c r="AK289" s="313"/>
    </row>
  </sheetData>
  <sheetProtection algorithmName="SHA-512" hashValue="QAMcAbwNn78c+kEpmcztqSigYzmaF8GWXvyYcaKCvSBNiT6IQOl/NYfkdalo4dpoNrqY/ZUxio+Rg7M8sVlSpg==" saltValue="Kcz9rp4NlBkD+13AZyfKew==" spinCount="100000" sheet="1" formatCells="0" formatColumns="0" formatRows="0" insertColumns="0" insertRows="0" insertHyperlinks="0" deleteColumns="0" deleteRows="0" sort="0" autoFilter="0" pivotTables="0"/>
  <dataConsolidate/>
  <mergeCells count="11">
    <mergeCell ref="E18:K20"/>
    <mergeCell ref="E25:J25"/>
    <mergeCell ref="E26:J26"/>
    <mergeCell ref="E21:J21"/>
    <mergeCell ref="E22:J22"/>
    <mergeCell ref="E24:J24"/>
    <mergeCell ref="A1:AK1"/>
    <mergeCell ref="AU1:AY1"/>
    <mergeCell ref="E12:K13"/>
    <mergeCell ref="E14:K15"/>
    <mergeCell ref="E16:K17"/>
  </mergeCells>
  <dataValidations count="1">
    <dataValidation type="list" allowBlank="1" showInputMessage="1" showErrorMessage="1" sqref="AM9" xr:uid="{00000000-0002-0000-0F00-000000000000}">
      <formula1>$AM$2:$AM$6</formula1>
    </dataValidation>
  </dataValidations>
  <hyperlinks>
    <hyperlink ref="AL1" location="Содержание!R1C1" display="← СОДЕРЖАНИЕ:" xr:uid="{00000000-0004-0000-0F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pageSetUpPr fitToPage="1"/>
  </sheetPr>
  <dimension ref="A1:AZ46"/>
  <sheetViews>
    <sheetView showGridLines="0" topLeftCell="A10" zoomScale="85" zoomScaleNormal="85" zoomScalePageLayoutView="55" workbookViewId="0">
      <selection activeCell="D38" sqref="D38:J39"/>
    </sheetView>
  </sheetViews>
  <sheetFormatPr defaultRowHeight="15" x14ac:dyDescent="0.25"/>
  <cols>
    <col min="1" max="1" width="3.85546875" style="245" customWidth="1"/>
    <col min="2" max="2" width="43.28515625" style="245" customWidth="1"/>
    <col min="3" max="3" width="14.28515625" style="245" customWidth="1"/>
    <col min="4" max="4" width="11.7109375" style="245" customWidth="1"/>
    <col min="5" max="5" width="9.42578125" style="245" customWidth="1"/>
    <col min="6" max="6" width="2" style="245" customWidth="1"/>
    <col min="7" max="7" width="2.28515625" style="245" customWidth="1"/>
    <col min="8" max="8" width="28.5703125" style="245" customWidth="1"/>
    <col min="9" max="10" width="2.42578125" style="245" customWidth="1"/>
    <col min="11" max="12" width="5.28515625" style="245" customWidth="1"/>
    <col min="13" max="13" width="2" style="245" customWidth="1"/>
    <col min="14" max="14" width="2.28515625" style="245" customWidth="1"/>
    <col min="15" max="15" width="2" style="245" customWidth="1"/>
    <col min="16" max="16" width="2.85546875" style="245" customWidth="1"/>
    <col min="17" max="17" width="2.7109375" style="245" customWidth="1"/>
    <col min="18" max="18" width="2.85546875" style="245" customWidth="1"/>
    <col min="19" max="19" width="2.28515625" style="245" customWidth="1"/>
    <col min="20" max="20" width="2.7109375" style="245" customWidth="1"/>
    <col min="21" max="21" width="2.140625" style="245" customWidth="1"/>
    <col min="22" max="22" width="2.7109375" style="245" customWidth="1"/>
    <col min="23" max="23" width="1.7109375" style="245" customWidth="1"/>
    <col min="24" max="24" width="2.42578125" style="245" customWidth="1"/>
    <col min="25" max="25" width="2" style="245" customWidth="1"/>
    <col min="26" max="26" width="1.7109375" style="245" customWidth="1"/>
    <col min="27" max="27" width="2.42578125" style="245" customWidth="1"/>
    <col min="28" max="28" width="2.7109375" style="245" customWidth="1"/>
    <col min="29" max="29" width="2.42578125" style="245" customWidth="1"/>
    <col min="30" max="30" width="2.5703125" style="245" customWidth="1"/>
    <col min="31" max="31" width="3.42578125" style="245" customWidth="1"/>
    <col min="32" max="32" width="2.140625" style="245" customWidth="1"/>
    <col min="33" max="33" width="2" style="245" customWidth="1"/>
    <col min="34" max="34" width="2.5703125" style="245" customWidth="1"/>
    <col min="35" max="35" width="2.85546875" style="245" customWidth="1"/>
    <col min="36" max="36" width="2" style="245" customWidth="1"/>
    <col min="37" max="37" width="2.85546875" style="245" customWidth="1"/>
    <col min="38" max="38" width="6" style="245" customWidth="1"/>
    <col min="39" max="39" width="20.7109375" style="245" customWidth="1"/>
    <col min="40" max="41" width="9.140625" style="245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4" width="9.140625" style="245" customWidth="1"/>
    <col min="55" max="16384" width="9.140625" style="245"/>
  </cols>
  <sheetData>
    <row r="1" spans="1:52" ht="45.75" customHeight="1" thickBot="1" x14ac:dyDescent="0.3">
      <c r="A1" s="1340"/>
      <c r="B1" s="1341"/>
      <c r="C1" s="1341"/>
      <c r="D1" s="1341"/>
      <c r="E1" s="1341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W1" s="1342"/>
      <c r="X1" s="1342"/>
      <c r="Y1" s="1342"/>
      <c r="Z1" s="1342"/>
      <c r="AA1" s="1342"/>
      <c r="AB1" s="1342"/>
      <c r="AC1" s="1342"/>
      <c r="AD1" s="1342"/>
      <c r="AE1" s="1342"/>
      <c r="AF1" s="1342"/>
      <c r="AG1" s="1342"/>
      <c r="AH1" s="1342"/>
      <c r="AI1" s="1342"/>
      <c r="AJ1" s="1342"/>
      <c r="AK1" s="1342"/>
      <c r="AL1" s="378"/>
      <c r="AM1" s="436" t="s">
        <v>544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</row>
    <row r="2" spans="1:52" ht="15" customHeight="1" x14ac:dyDescent="0.25">
      <c r="A2" s="379"/>
      <c r="B2" s="360"/>
      <c r="C2" s="360"/>
      <c r="D2" s="360"/>
      <c r="E2" s="360"/>
      <c r="AL2" s="316"/>
      <c r="AN2" s="361"/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13</v>
      </c>
    </row>
    <row r="3" spans="1:52" ht="15" customHeight="1" x14ac:dyDescent="0.25">
      <c r="A3" s="379"/>
      <c r="B3" s="360"/>
      <c r="C3" s="360"/>
      <c r="D3" s="360"/>
      <c r="E3" s="360"/>
      <c r="AL3" s="316"/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520</v>
      </c>
      <c r="AV3" s="306">
        <f>(C25-10)*C27/1000000</f>
        <v>9.8000000000000004E-2</v>
      </c>
      <c r="AW3" s="306">
        <f>IF(C18=AQ2,AR2,IF(C18=AQ3,AR3,IF(C18=AQ4,AR4,IF(C18=AQ5,AR5,IF(C18=AQ6,AR6,IF(C18=AQ7,AR7,0))))))</f>
        <v>680</v>
      </c>
      <c r="AX3" s="306">
        <f>IF(D18=AS2,10,IF(D18=AS3,16,IF(D18=AS4,18,IF(D18=AS5,19,IF(D18=AS6,4,0)))))</f>
        <v>16</v>
      </c>
      <c r="AY3" s="306">
        <f t="shared" ref="AY3:AY8" si="0">AV3*AW3*AX3/1000</f>
        <v>1.0662400000000001</v>
      </c>
    </row>
    <row r="4" spans="1:52" ht="15" customHeight="1" x14ac:dyDescent="0.25">
      <c r="A4" s="379"/>
      <c r="B4" s="360"/>
      <c r="C4" s="360"/>
      <c r="D4" s="360"/>
      <c r="E4" s="360"/>
      <c r="AL4" s="316"/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519</v>
      </c>
      <c r="AV4" s="306">
        <f>(C25-10)*C27/1000000</f>
        <v>9.8000000000000004E-2</v>
      </c>
      <c r="AW4" s="306">
        <f>IF(C18=AQ2,AR2,IF(C18=AQ3,AR3,IF(C18=AQ4,AR4,IF(C18=AQ5,AR5,IF(C18=AQ6,AR6,IF(C18=AQ7,AR7,0))))))</f>
        <v>680</v>
      </c>
      <c r="AX4" s="306">
        <f>IF(D18=AS2,10,IF(D18=AS3,16,IF(D18=AS4,18,IF(D18=AS5,19,IF(D18=AS6,4,0)))))</f>
        <v>16</v>
      </c>
      <c r="AY4" s="306">
        <f t="shared" si="0"/>
        <v>1.0662400000000001</v>
      </c>
    </row>
    <row r="5" spans="1:52" ht="15" customHeight="1" x14ac:dyDescent="0.25">
      <c r="A5" s="379"/>
      <c r="B5" s="360"/>
      <c r="C5" s="360"/>
      <c r="D5" s="360"/>
      <c r="E5" s="360"/>
      <c r="AL5" s="316"/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518</v>
      </c>
      <c r="AV5" s="306">
        <f>(C26-42)*C27/1000000</f>
        <v>0.1116</v>
      </c>
      <c r="AW5" s="306">
        <f>IF(C18=AQ2,AR2,IF(C18=AQ3,AR3,IF(C18=AQ4,AR4,IF(C18=AQ5,AR5,IF(C18=AQ6,AR6,IF(C18=AQ7,AR7,0))))))</f>
        <v>680</v>
      </c>
      <c r="AX5" s="306">
        <f>IF(D18=AS2,10,IF(D18=AS3,16,IF(D18=AS4,18,IF(D18=AS5,19,IF(D18=AS6,4,0)))))</f>
        <v>16</v>
      </c>
      <c r="AY5" s="306">
        <f t="shared" si="0"/>
        <v>1.2142080000000002</v>
      </c>
    </row>
    <row r="6" spans="1:52" ht="15" customHeight="1" x14ac:dyDescent="0.25">
      <c r="A6" s="379"/>
      <c r="B6" s="360"/>
      <c r="C6" s="360"/>
      <c r="D6" s="360"/>
      <c r="E6" s="360"/>
      <c r="AL6" s="316"/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517</v>
      </c>
      <c r="AV6" s="306">
        <f>IF(C22=AT2,(C26-42)*C27/1000000,0)</f>
        <v>0.1116</v>
      </c>
      <c r="AW6" s="306">
        <f>IF(C18=AQ2,AR2,IF(C18=AQ3,AR3,IF(C18=AQ4,AR4,IF(C18=AQ5,AR5,IF(C18=AQ6,AR6,IF(C18=AQ7,AR7,0))))))</f>
        <v>680</v>
      </c>
      <c r="AX6" s="306">
        <f>IF(D18=AS2,10,IF(D18=AS3,16,IF(D18=AS4,18,IF(D18=AS5,19,IF(D18=AS6,4,0)))))</f>
        <v>16</v>
      </c>
      <c r="AY6" s="306">
        <f t="shared" si="0"/>
        <v>1.2142080000000002</v>
      </c>
    </row>
    <row r="7" spans="1:52" ht="15" customHeight="1" x14ac:dyDescent="0.25">
      <c r="A7" s="379"/>
      <c r="B7" s="360"/>
      <c r="C7" s="360"/>
      <c r="D7" s="360"/>
      <c r="E7" s="360"/>
      <c r="AL7" s="316"/>
      <c r="AP7" s="299">
        <v>500</v>
      </c>
      <c r="AQ7" s="299" t="s">
        <v>449</v>
      </c>
      <c r="AR7" s="299">
        <v>900</v>
      </c>
      <c r="AS7" s="306"/>
      <c r="AU7" s="306" t="s">
        <v>516</v>
      </c>
      <c r="AV7" s="306">
        <f>IF(C22=AT2,(C26-42)*(C25-10-(AX5*2))/1000000,(C26-42)*(C25-10-AX5)/1000000)</f>
        <v>0.25556400000000001</v>
      </c>
      <c r="AW7" s="306">
        <f>IF(C19=AQ2,AR2,IF(C19=AQ3,AR3,IF(C19=AQ4,AR4,IF(C19=AQ5,AR5,IF(C19=AQ6,AR6,IF(C19=AQ7,AR7,0))))))</f>
        <v>680</v>
      </c>
      <c r="AX7" s="306">
        <f>IF(D19=AS2,10,IF(D19=AS3,16,IF(D19=AS4,18,IF(D19=AS5,19,IF(D19=AS6,4,0)))))</f>
        <v>16</v>
      </c>
      <c r="AY7" s="306">
        <f t="shared" si="0"/>
        <v>2.78053632</v>
      </c>
    </row>
    <row r="8" spans="1:52" ht="15" customHeight="1" x14ac:dyDescent="0.25">
      <c r="A8" s="379"/>
      <c r="B8" s="360"/>
      <c r="C8" s="360"/>
      <c r="D8" s="360"/>
      <c r="E8" s="360"/>
      <c r="AL8" s="316"/>
      <c r="AP8" s="299">
        <v>550</v>
      </c>
      <c r="AQ8" s="247"/>
      <c r="AR8" s="247"/>
      <c r="AU8" s="306" t="s">
        <v>515</v>
      </c>
      <c r="AV8" s="306">
        <f>C28*C29/1000000</f>
        <v>0.21</v>
      </c>
      <c r="AW8" s="306">
        <f>IF(C20=AQ2,AR2,IF(C20=AQ3,AR3,IF(C20=AQ4,AR4,IF(C20=AQ5,AR5,IF(C20=AQ6,AR6,IF(C20=AQ7,AR7,0))))))</f>
        <v>760</v>
      </c>
      <c r="AX8" s="306">
        <f>IF(D20=AS2,10,IF(D20=AS3,16,IF(D20=AS4,18,IF(D20=AS5,19,IF(D20=AS6,4,0)))))</f>
        <v>19</v>
      </c>
      <c r="AY8" s="306">
        <f t="shared" si="0"/>
        <v>3.0324</v>
      </c>
    </row>
    <row r="9" spans="1:52" ht="15" customHeight="1" x14ac:dyDescent="0.25">
      <c r="A9" s="379"/>
      <c r="B9" s="360"/>
      <c r="C9" s="360"/>
      <c r="D9" s="360"/>
      <c r="E9" s="360"/>
      <c r="AL9" s="316"/>
      <c r="AP9" s="299">
        <v>600</v>
      </c>
      <c r="AQ9" s="247"/>
      <c r="AR9" s="247"/>
      <c r="AY9" s="305">
        <f>SUM(AY3:AY8)</f>
        <v>10.373832320000002</v>
      </c>
    </row>
    <row r="10" spans="1:52" ht="15" customHeight="1" x14ac:dyDescent="0.25">
      <c r="A10" s="379"/>
      <c r="B10" s="360"/>
      <c r="C10" s="360"/>
      <c r="D10" s="360"/>
      <c r="E10" s="360"/>
      <c r="AL10" s="316"/>
      <c r="AP10" s="299">
        <v>650</v>
      </c>
      <c r="AQ10" s="247"/>
      <c r="AR10" s="247"/>
      <c r="AY10" s="307"/>
    </row>
    <row r="11" spans="1:52" ht="25.5" customHeight="1" x14ac:dyDescent="0.25">
      <c r="A11" s="379"/>
      <c r="B11" s="360"/>
      <c r="C11" s="360"/>
      <c r="D11" s="360"/>
      <c r="E11" s="360"/>
      <c r="AL11" s="316"/>
      <c r="AP11" s="299">
        <v>700</v>
      </c>
      <c r="AQ11" s="247"/>
      <c r="AR11" s="247"/>
    </row>
    <row r="12" spans="1:52" ht="18.75" customHeight="1" x14ac:dyDescent="0.25">
      <c r="A12" s="1343" t="s">
        <v>444</v>
      </c>
      <c r="B12" s="1344"/>
      <c r="C12" s="1344"/>
      <c r="D12" s="1344"/>
      <c r="E12" s="1344"/>
      <c r="F12" s="1344"/>
      <c r="G12" s="1344"/>
      <c r="H12" s="1344"/>
      <c r="I12" s="1344"/>
      <c r="J12" s="1344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5"/>
      <c r="V12" s="1345"/>
      <c r="W12" s="1345"/>
      <c r="X12" s="1345"/>
      <c r="Y12" s="1345"/>
      <c r="Z12" s="1345"/>
      <c r="AA12" s="1345"/>
      <c r="AB12" s="1345"/>
      <c r="AC12" s="1345"/>
      <c r="AD12" s="1345"/>
      <c r="AE12" s="1345"/>
      <c r="AF12" s="1345"/>
      <c r="AG12" s="1345"/>
      <c r="AH12" s="1345"/>
      <c r="AI12" s="1345"/>
      <c r="AJ12" s="1345"/>
      <c r="AK12" s="1345"/>
      <c r="AL12" s="316"/>
      <c r="AP12" s="299">
        <v>750</v>
      </c>
      <c r="AQ12" s="247"/>
      <c r="AR12" s="247"/>
    </row>
    <row r="13" spans="1:52" ht="16.5" customHeight="1" x14ac:dyDescent="0.25">
      <c r="A13" s="381" t="s">
        <v>534</v>
      </c>
      <c r="B13" s="382"/>
      <c r="C13" s="382"/>
      <c r="D13" s="382"/>
      <c r="E13" s="382"/>
      <c r="F13" s="383"/>
      <c r="G13" s="382"/>
      <c r="H13" s="382"/>
      <c r="I13" s="384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16"/>
      <c r="AP13" s="247"/>
      <c r="AQ13" s="247"/>
      <c r="AR13" s="247"/>
    </row>
    <row r="14" spans="1:52" ht="18.75" customHeight="1" x14ac:dyDescent="0.25">
      <c r="A14" s="385" t="s">
        <v>535</v>
      </c>
      <c r="B14" s="382"/>
      <c r="C14" s="382"/>
      <c r="D14" s="382"/>
      <c r="E14" s="382"/>
      <c r="F14" s="386"/>
      <c r="G14" s="382"/>
      <c r="H14" s="382"/>
      <c r="I14" s="384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13"/>
      <c r="AP14" s="247"/>
      <c r="AQ14" s="247"/>
      <c r="AR14" s="247"/>
    </row>
    <row r="15" spans="1:52" ht="12" customHeight="1" x14ac:dyDescent="0.25">
      <c r="A15" s="355"/>
      <c r="B15" s="1277" t="s">
        <v>514</v>
      </c>
      <c r="C15" s="1278"/>
      <c r="D15" s="1279"/>
      <c r="E15" s="248"/>
      <c r="F15" s="248"/>
      <c r="G15" s="248"/>
      <c r="H15" s="248"/>
      <c r="I15" s="248"/>
      <c r="J15" s="248"/>
      <c r="K15" s="359"/>
      <c r="L15" s="358"/>
      <c r="M15" s="1371" t="s">
        <v>536</v>
      </c>
      <c r="N15" s="1371"/>
      <c r="O15" s="1371"/>
      <c r="P15" s="1371"/>
      <c r="Q15" s="1371"/>
      <c r="R15" s="1371"/>
      <c r="S15" s="1371"/>
      <c r="T15" s="1371"/>
      <c r="U15" s="1371"/>
      <c r="V15" s="1371"/>
      <c r="W15" s="1371"/>
      <c r="X15" s="1371"/>
      <c r="Y15" s="1371"/>
      <c r="Z15" s="1371"/>
      <c r="AA15" s="1371"/>
      <c r="AB15" s="1371"/>
      <c r="AC15" s="1371"/>
      <c r="AD15" s="1371"/>
      <c r="AE15" s="1371"/>
      <c r="AF15" s="1371"/>
      <c r="AG15" s="1371"/>
      <c r="AH15" s="1371"/>
      <c r="AI15" s="1371"/>
      <c r="AJ15" s="1371"/>
      <c r="AK15" s="357"/>
      <c r="AL15" s="330"/>
      <c r="AP15" s="247"/>
      <c r="AQ15" s="247"/>
      <c r="AR15" s="247"/>
    </row>
    <row r="16" spans="1:52" ht="12.75" customHeight="1" x14ac:dyDescent="0.25">
      <c r="A16" s="355"/>
      <c r="B16" s="1346"/>
      <c r="C16" s="1347"/>
      <c r="D16" s="1348"/>
      <c r="E16" s="248"/>
      <c r="F16" s="248"/>
      <c r="G16" s="1352" t="str">
        <f>D18</f>
        <v>16 мм</v>
      </c>
      <c r="H16" s="356" t="str">
        <f>D18</f>
        <v>16 мм</v>
      </c>
      <c r="I16" s="1376" t="str">
        <f>D18</f>
        <v>16 мм</v>
      </c>
      <c r="J16" s="248"/>
      <c r="K16" s="355"/>
      <c r="L16" s="291"/>
      <c r="M16" s="1372"/>
      <c r="N16" s="1372"/>
      <c r="O16" s="1372"/>
      <c r="P16" s="1372"/>
      <c r="Q16" s="1372"/>
      <c r="R16" s="1372"/>
      <c r="S16" s="1372"/>
      <c r="T16" s="1372"/>
      <c r="U16" s="1372"/>
      <c r="V16" s="1372"/>
      <c r="W16" s="1372"/>
      <c r="X16" s="1372"/>
      <c r="Y16" s="1372"/>
      <c r="Z16" s="1372"/>
      <c r="AA16" s="1372"/>
      <c r="AB16" s="1372"/>
      <c r="AC16" s="1372"/>
      <c r="AD16" s="1372"/>
      <c r="AE16" s="1372"/>
      <c r="AF16" s="1372"/>
      <c r="AG16" s="1372"/>
      <c r="AH16" s="1372"/>
      <c r="AI16" s="1372"/>
      <c r="AJ16" s="1372"/>
      <c r="AK16" s="284"/>
      <c r="AL16" s="330"/>
      <c r="AP16" s="247"/>
      <c r="AQ16" s="247"/>
      <c r="AR16" s="247"/>
    </row>
    <row r="17" spans="1:44" ht="18.75" customHeight="1" x14ac:dyDescent="0.25">
      <c r="A17" s="355"/>
      <c r="B17" s="287"/>
      <c r="C17" s="354" t="s">
        <v>431</v>
      </c>
      <c r="D17" s="354" t="s">
        <v>430</v>
      </c>
      <c r="E17" s="249"/>
      <c r="F17" s="249"/>
      <c r="G17" s="1353"/>
      <c r="H17" s="1349" t="str">
        <f>D19</f>
        <v>16 мм</v>
      </c>
      <c r="I17" s="1377"/>
      <c r="J17" s="249"/>
      <c r="K17" s="331"/>
      <c r="L17" s="291"/>
      <c r="M17" s="1372"/>
      <c r="N17" s="1372"/>
      <c r="O17" s="1372"/>
      <c r="P17" s="1372"/>
      <c r="Q17" s="1372"/>
      <c r="R17" s="1372"/>
      <c r="S17" s="1372"/>
      <c r="T17" s="1372"/>
      <c r="U17" s="1372"/>
      <c r="V17" s="1372"/>
      <c r="W17" s="1372"/>
      <c r="X17" s="1372"/>
      <c r="Y17" s="1372"/>
      <c r="Z17" s="1372"/>
      <c r="AA17" s="1372"/>
      <c r="AB17" s="1372"/>
      <c r="AC17" s="1372"/>
      <c r="AD17" s="1372"/>
      <c r="AE17" s="1372"/>
      <c r="AF17" s="1372"/>
      <c r="AG17" s="1372"/>
      <c r="AH17" s="1372"/>
      <c r="AI17" s="1372"/>
      <c r="AJ17" s="1372"/>
      <c r="AK17" s="284"/>
      <c r="AL17" s="330"/>
      <c r="AP17" s="247"/>
      <c r="AQ17" s="247"/>
      <c r="AR17" s="247"/>
    </row>
    <row r="18" spans="1:44" ht="20.25" customHeight="1" x14ac:dyDescent="0.25">
      <c r="A18" s="355"/>
      <c r="B18" s="353" t="s">
        <v>513</v>
      </c>
      <c r="C18" s="366" t="s">
        <v>478</v>
      </c>
      <c r="D18" s="366" t="s">
        <v>467</v>
      </c>
      <c r="E18" s="1383" t="str">
        <f>IF(AX3&gt;16,"Требуется доп. фрезеровка","")</f>
        <v/>
      </c>
      <c r="F18" s="1383"/>
      <c r="G18" s="1353"/>
      <c r="H18" s="1349"/>
      <c r="I18" s="1377"/>
      <c r="J18" s="249"/>
      <c r="K18" s="331"/>
      <c r="L18" s="284"/>
      <c r="M18" s="1359" t="s">
        <v>437</v>
      </c>
      <c r="N18" s="1360"/>
      <c r="O18" s="1360"/>
      <c r="P18" s="1360"/>
      <c r="Q18" s="1360"/>
      <c r="R18" s="1361"/>
      <c r="S18" s="1359" t="s">
        <v>436</v>
      </c>
      <c r="T18" s="1360"/>
      <c r="U18" s="1360"/>
      <c r="V18" s="1360"/>
      <c r="W18" s="1360"/>
      <c r="X18" s="1361"/>
      <c r="Y18" s="1359" t="s">
        <v>435</v>
      </c>
      <c r="Z18" s="1360"/>
      <c r="AA18" s="1360"/>
      <c r="AB18" s="1360"/>
      <c r="AC18" s="1360"/>
      <c r="AD18" s="1361"/>
      <c r="AE18" s="1359" t="s">
        <v>434</v>
      </c>
      <c r="AF18" s="1360"/>
      <c r="AG18" s="1360"/>
      <c r="AH18" s="1360"/>
      <c r="AI18" s="1360"/>
      <c r="AJ18" s="1361"/>
      <c r="AK18" s="284"/>
      <c r="AL18" s="330"/>
      <c r="AP18" s="247"/>
      <c r="AQ18" s="247"/>
      <c r="AR18" s="247"/>
    </row>
    <row r="19" spans="1:44" ht="24" customHeight="1" x14ac:dyDescent="0.25">
      <c r="A19" s="355"/>
      <c r="B19" s="353" t="s">
        <v>512</v>
      </c>
      <c r="C19" s="366" t="s">
        <v>478</v>
      </c>
      <c r="D19" s="366" t="s">
        <v>467</v>
      </c>
      <c r="E19" s="249"/>
      <c r="F19" s="249"/>
      <c r="G19" s="1353"/>
      <c r="H19" s="1349"/>
      <c r="I19" s="1377"/>
      <c r="J19" s="249"/>
      <c r="K19" s="331"/>
      <c r="L19" s="284"/>
      <c r="M19" s="1362"/>
      <c r="N19" s="1363"/>
      <c r="O19" s="1363"/>
      <c r="P19" s="1363"/>
      <c r="Q19" s="1363"/>
      <c r="R19" s="1364"/>
      <c r="S19" s="1362"/>
      <c r="T19" s="1363"/>
      <c r="U19" s="1363"/>
      <c r="V19" s="1363"/>
      <c r="W19" s="1363"/>
      <c r="X19" s="1364"/>
      <c r="Y19" s="1362"/>
      <c r="Z19" s="1363"/>
      <c r="AA19" s="1363"/>
      <c r="AB19" s="1363"/>
      <c r="AC19" s="1363"/>
      <c r="AD19" s="1364"/>
      <c r="AE19" s="1362"/>
      <c r="AF19" s="1363"/>
      <c r="AG19" s="1363"/>
      <c r="AH19" s="1363"/>
      <c r="AI19" s="1363"/>
      <c r="AJ19" s="1364"/>
      <c r="AK19" s="284"/>
      <c r="AL19" s="330"/>
      <c r="AP19" s="247"/>
      <c r="AQ19" s="247"/>
      <c r="AR19" s="247"/>
    </row>
    <row r="20" spans="1:44" ht="18.75" customHeight="1" x14ac:dyDescent="0.25">
      <c r="A20" s="355"/>
      <c r="B20" s="353" t="s">
        <v>340</v>
      </c>
      <c r="C20" s="366" t="s">
        <v>429</v>
      </c>
      <c r="D20" s="366" t="s">
        <v>428</v>
      </c>
      <c r="E20" s="249"/>
      <c r="F20" s="249"/>
      <c r="G20" s="1353"/>
      <c r="H20" s="1349"/>
      <c r="I20" s="1377"/>
      <c r="J20" s="249"/>
      <c r="K20" s="331"/>
      <c r="L20" s="284"/>
      <c r="M20" s="1365">
        <f>AY9</f>
        <v>10.373832320000002</v>
      </c>
      <c r="N20" s="1366"/>
      <c r="O20" s="1366"/>
      <c r="P20" s="1366"/>
      <c r="Q20" s="1366"/>
      <c r="R20" s="1367"/>
      <c r="S20" s="1373">
        <f>C31/1000</f>
        <v>0</v>
      </c>
      <c r="T20" s="1374"/>
      <c r="U20" s="1374"/>
      <c r="V20" s="1374"/>
      <c r="W20" s="1374"/>
      <c r="X20" s="1375"/>
      <c r="Y20" s="1365">
        <f>C32</f>
        <v>20</v>
      </c>
      <c r="Z20" s="1366"/>
      <c r="AA20" s="1366"/>
      <c r="AB20" s="1366"/>
      <c r="AC20" s="1366"/>
      <c r="AD20" s="1367"/>
      <c r="AE20" s="1365">
        <f>M20+S20+Y20</f>
        <v>30.373832320000002</v>
      </c>
      <c r="AF20" s="1366"/>
      <c r="AG20" s="1366"/>
      <c r="AH20" s="1366"/>
      <c r="AI20" s="1366"/>
      <c r="AJ20" s="1367"/>
      <c r="AK20" s="284"/>
      <c r="AL20" s="330"/>
      <c r="AP20" s="247"/>
      <c r="AQ20" s="247"/>
      <c r="AR20" s="247"/>
    </row>
    <row r="21" spans="1:44" ht="18.75" customHeight="1" x14ac:dyDescent="0.25">
      <c r="A21" s="355"/>
      <c r="B21" s="1271" t="s">
        <v>511</v>
      </c>
      <c r="C21" s="1271"/>
      <c r="D21" s="1271"/>
      <c r="E21" s="249"/>
      <c r="F21" s="249"/>
      <c r="G21" s="1353"/>
      <c r="H21" s="1349"/>
      <c r="I21" s="1377"/>
      <c r="J21" s="249"/>
      <c r="K21" s="331"/>
      <c r="L21" s="284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282"/>
      <c r="AF21" s="282"/>
      <c r="AG21" s="282"/>
      <c r="AH21" s="282"/>
      <c r="AI21" s="282"/>
      <c r="AJ21" s="282"/>
      <c r="AK21" s="284"/>
      <c r="AL21" s="330"/>
      <c r="AP21" s="247"/>
      <c r="AQ21" s="247"/>
      <c r="AR21" s="247"/>
    </row>
    <row r="22" spans="1:44" ht="18" customHeight="1" x14ac:dyDescent="0.25">
      <c r="A22" s="355"/>
      <c r="B22" s="322" t="s">
        <v>510</v>
      </c>
      <c r="C22" s="1370" t="s">
        <v>476</v>
      </c>
      <c r="D22" s="1370"/>
      <c r="E22" s="249"/>
      <c r="F22" s="249"/>
      <c r="G22" s="1353"/>
      <c r="H22" s="1349"/>
      <c r="I22" s="1377"/>
      <c r="J22" s="249"/>
      <c r="K22" s="331"/>
      <c r="L22" s="1384" t="s">
        <v>509</v>
      </c>
      <c r="M22" s="1384"/>
      <c r="N22" s="1384"/>
      <c r="O22" s="1384"/>
      <c r="P22" s="1384"/>
      <c r="Q22" s="1384"/>
      <c r="R22" s="1384"/>
      <c r="S22" s="1384"/>
      <c r="T22" s="1384"/>
      <c r="U22" s="1384"/>
      <c r="V22" s="1384"/>
      <c r="W22" s="1384"/>
      <c r="X22" s="1384"/>
      <c r="Y22" s="1384"/>
      <c r="Z22" s="1384"/>
      <c r="AA22" s="1384"/>
      <c r="AB22" s="1384"/>
      <c r="AC22" s="1384"/>
      <c r="AD22" s="1384"/>
      <c r="AE22" s="1384"/>
      <c r="AF22" s="1384"/>
      <c r="AG22" s="1384"/>
      <c r="AH22" s="1384"/>
      <c r="AI22" s="1384"/>
      <c r="AJ22" s="1384"/>
      <c r="AK22" s="284"/>
      <c r="AL22" s="330"/>
      <c r="AP22" s="247"/>
      <c r="AQ22" s="247"/>
      <c r="AR22" s="247"/>
    </row>
    <row r="23" spans="1:44" ht="12" customHeight="1" x14ac:dyDescent="0.25">
      <c r="A23" s="355"/>
      <c r="B23" s="1277" t="s">
        <v>441</v>
      </c>
      <c r="C23" s="1279"/>
      <c r="D23" s="350"/>
      <c r="E23" s="249"/>
      <c r="F23" s="249"/>
      <c r="G23" s="1353"/>
      <c r="H23" s="351" t="str">
        <f>D18</f>
        <v>16 мм</v>
      </c>
      <c r="I23" s="1377"/>
      <c r="J23" s="249"/>
      <c r="K23" s="331"/>
      <c r="L23" s="1384"/>
      <c r="M23" s="1384"/>
      <c r="N23" s="1384"/>
      <c r="O23" s="1384"/>
      <c r="P23" s="1384"/>
      <c r="Q23" s="1384"/>
      <c r="R23" s="1384"/>
      <c r="S23" s="1384"/>
      <c r="T23" s="1384"/>
      <c r="U23" s="1384"/>
      <c r="V23" s="1384"/>
      <c r="W23" s="1384"/>
      <c r="X23" s="1384"/>
      <c r="Y23" s="1384"/>
      <c r="Z23" s="1384"/>
      <c r="AA23" s="1384"/>
      <c r="AB23" s="1384"/>
      <c r="AC23" s="1384"/>
      <c r="AD23" s="1384"/>
      <c r="AE23" s="1384"/>
      <c r="AF23" s="1384"/>
      <c r="AG23" s="1384"/>
      <c r="AH23" s="1384"/>
      <c r="AI23" s="1384"/>
      <c r="AJ23" s="1384"/>
      <c r="AK23" s="284"/>
      <c r="AL23" s="330"/>
      <c r="AP23" s="247"/>
      <c r="AQ23" s="247"/>
      <c r="AR23" s="247"/>
    </row>
    <row r="24" spans="1:44" ht="18.75" customHeight="1" x14ac:dyDescent="0.25">
      <c r="A24" s="355"/>
      <c r="B24" s="1378"/>
      <c r="C24" s="1379"/>
      <c r="D24" s="350"/>
      <c r="E24" s="249"/>
      <c r="F24" s="1350" t="str">
        <f>D20</f>
        <v>19 мм</v>
      </c>
      <c r="G24" s="1351"/>
      <c r="H24" s="1351"/>
      <c r="I24" s="1351"/>
      <c r="J24" s="1351"/>
      <c r="K24" s="1388" t="s">
        <v>508</v>
      </c>
      <c r="L24" s="1389"/>
      <c r="M24" s="1380" t="s">
        <v>425</v>
      </c>
      <c r="N24" s="1381"/>
      <c r="O24" s="1381"/>
      <c r="P24" s="1382"/>
      <c r="Q24" s="1380" t="s">
        <v>424</v>
      </c>
      <c r="R24" s="1381"/>
      <c r="S24" s="1381"/>
      <c r="T24" s="1382"/>
      <c r="U24" s="1380" t="s">
        <v>423</v>
      </c>
      <c r="V24" s="1381"/>
      <c r="W24" s="1381"/>
      <c r="X24" s="1382"/>
      <c r="Y24" s="1380" t="s">
        <v>422</v>
      </c>
      <c r="Z24" s="1381"/>
      <c r="AA24" s="1381"/>
      <c r="AB24" s="1382"/>
      <c r="AC24" s="1380" t="s">
        <v>421</v>
      </c>
      <c r="AD24" s="1381"/>
      <c r="AE24" s="1381"/>
      <c r="AF24" s="1382"/>
      <c r="AG24" s="1380" t="s">
        <v>420</v>
      </c>
      <c r="AH24" s="1381"/>
      <c r="AI24" s="1381"/>
      <c r="AJ24" s="1382"/>
      <c r="AK24" s="284"/>
      <c r="AL24" s="330"/>
      <c r="AP24" s="247"/>
      <c r="AQ24" s="247"/>
      <c r="AR24" s="247"/>
    </row>
    <row r="25" spans="1:44" ht="21.75" customHeight="1" x14ac:dyDescent="0.25">
      <c r="A25" s="355"/>
      <c r="B25" s="322" t="s">
        <v>438</v>
      </c>
      <c r="C25" s="349">
        <v>500</v>
      </c>
      <c r="D25" s="321"/>
      <c r="E25" s="348"/>
      <c r="F25" s="347"/>
      <c r="G25" s="347"/>
      <c r="H25" s="347"/>
      <c r="I25" s="249"/>
      <c r="J25" s="249"/>
      <c r="K25" s="1386" t="s">
        <v>507</v>
      </c>
      <c r="L25" s="336" t="s">
        <v>506</v>
      </c>
      <c r="M25" s="342"/>
      <c r="N25" s="341"/>
      <c r="O25" s="341"/>
      <c r="P25" s="341"/>
      <c r="Q25" s="341"/>
      <c r="R25" s="341"/>
      <c r="S25" s="341"/>
      <c r="T25" s="346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4"/>
      <c r="AF25" s="344"/>
      <c r="AG25" s="344"/>
      <c r="AH25" s="344"/>
      <c r="AI25" s="344"/>
      <c r="AJ25" s="343"/>
      <c r="AK25" s="284"/>
      <c r="AL25" s="330"/>
      <c r="AP25" s="247"/>
      <c r="AQ25" s="247"/>
      <c r="AR25" s="247"/>
    </row>
    <row r="26" spans="1:44" ht="21.75" customHeight="1" x14ac:dyDescent="0.25">
      <c r="A26" s="355"/>
      <c r="B26" s="322" t="s">
        <v>433</v>
      </c>
      <c r="C26" s="365">
        <v>600</v>
      </c>
      <c r="D26" s="1354" t="s">
        <v>505</v>
      </c>
      <c r="E26" s="1355"/>
      <c r="F26" s="1355"/>
      <c r="G26" s="1355"/>
      <c r="H26" s="1355"/>
      <c r="I26" s="249"/>
      <c r="J26" s="249"/>
      <c r="K26" s="1387"/>
      <c r="L26" s="336" t="s">
        <v>417</v>
      </c>
      <c r="M26" s="342"/>
      <c r="N26" s="341"/>
      <c r="O26" s="340"/>
      <c r="P26" s="340"/>
      <c r="Q26" s="340"/>
      <c r="R26" s="340"/>
      <c r="S26" s="340"/>
      <c r="T26" s="339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0"/>
      <c r="AF26" s="270"/>
      <c r="AG26" s="270"/>
      <c r="AH26" s="270"/>
      <c r="AI26" s="270"/>
      <c r="AJ26" s="269"/>
      <c r="AK26" s="284"/>
      <c r="AL26" s="330"/>
      <c r="AO26" s="303"/>
      <c r="AP26" s="247"/>
      <c r="AQ26" s="247"/>
      <c r="AR26" s="247"/>
    </row>
    <row r="27" spans="1:44" ht="18.75" customHeight="1" x14ac:dyDescent="0.25">
      <c r="A27" s="355"/>
      <c r="B27" s="322" t="s">
        <v>504</v>
      </c>
      <c r="C27" s="365">
        <v>200</v>
      </c>
      <c r="D27" s="362"/>
      <c r="E27" s="1392" t="s">
        <v>503</v>
      </c>
      <c r="F27" s="1392"/>
      <c r="G27" s="1392"/>
      <c r="H27" s="1392"/>
      <c r="I27" s="249"/>
      <c r="J27" s="249"/>
      <c r="K27" s="1387"/>
      <c r="L27" s="336" t="s">
        <v>414</v>
      </c>
      <c r="M27" s="267"/>
      <c r="N27" s="266"/>
      <c r="O27" s="335"/>
      <c r="P27" s="334"/>
      <c r="Q27" s="334"/>
      <c r="R27" s="334"/>
      <c r="S27" s="334"/>
      <c r="T27" s="334"/>
      <c r="U27" s="334"/>
      <c r="V27" s="334"/>
      <c r="W27" s="338"/>
      <c r="X27" s="338"/>
      <c r="Y27" s="338"/>
      <c r="Z27" s="338"/>
      <c r="AA27" s="338"/>
      <c r="AB27" s="337"/>
      <c r="AC27" s="266"/>
      <c r="AD27" s="266"/>
      <c r="AE27" s="266"/>
      <c r="AF27" s="266"/>
      <c r="AG27" s="266"/>
      <c r="AH27" s="266"/>
      <c r="AI27" s="266"/>
      <c r="AJ27" s="265"/>
      <c r="AK27" s="284"/>
      <c r="AL27" s="330"/>
      <c r="AP27" s="247"/>
      <c r="AQ27" s="247"/>
      <c r="AR27" s="247"/>
    </row>
    <row r="28" spans="1:44" ht="18.75" customHeight="1" x14ac:dyDescent="0.25">
      <c r="A28" s="355"/>
      <c r="B28" s="322" t="s">
        <v>502</v>
      </c>
      <c r="C28" s="365">
        <v>600</v>
      </c>
      <c r="D28" s="362"/>
      <c r="E28" s="1392" t="s">
        <v>501</v>
      </c>
      <c r="F28" s="1392"/>
      <c r="G28" s="1392"/>
      <c r="H28" s="1392"/>
      <c r="I28" s="249"/>
      <c r="J28" s="249"/>
      <c r="K28" s="1387"/>
      <c r="L28" s="336" t="s">
        <v>412</v>
      </c>
      <c r="M28" s="263"/>
      <c r="N28" s="262"/>
      <c r="O28" s="262"/>
      <c r="P28" s="262"/>
      <c r="Q28" s="262"/>
      <c r="R28" s="262"/>
      <c r="S28" s="262"/>
      <c r="T28" s="262"/>
      <c r="U28" s="262"/>
      <c r="V28" s="262"/>
      <c r="W28" s="335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3"/>
      <c r="AK28" s="284"/>
      <c r="AL28" s="330"/>
      <c r="AP28" s="247"/>
      <c r="AQ28" s="247"/>
      <c r="AR28" s="247"/>
    </row>
    <row r="29" spans="1:44" ht="18.75" customHeight="1" x14ac:dyDescent="0.25">
      <c r="A29" s="355"/>
      <c r="B29" s="322" t="s">
        <v>500</v>
      </c>
      <c r="C29" s="332">
        <v>350</v>
      </c>
      <c r="D29" s="362"/>
      <c r="E29" s="1392" t="s">
        <v>499</v>
      </c>
      <c r="F29" s="1392"/>
      <c r="G29" s="1392"/>
      <c r="H29" s="1392"/>
      <c r="I29" s="249"/>
      <c r="J29" s="249"/>
      <c r="K29" s="331"/>
      <c r="L29" s="1295" t="str">
        <f>IF(AND(C25&lt;350,AE20&gt;20),IF((M20+S20)&lt;20,"Уменьшите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9" s="1295"/>
      <c r="N29" s="1295"/>
      <c r="O29" s="1295"/>
      <c r="P29" s="1295"/>
      <c r="Q29" s="1295"/>
      <c r="R29" s="1295"/>
      <c r="S29" s="1295"/>
      <c r="T29" s="1295"/>
      <c r="U29" s="1295"/>
      <c r="V29" s="1295"/>
      <c r="W29" s="1295"/>
      <c r="X29" s="1295"/>
      <c r="Y29" s="1295"/>
      <c r="Z29" s="1295"/>
      <c r="AA29" s="1295"/>
      <c r="AB29" s="1295"/>
      <c r="AC29" s="1295"/>
      <c r="AD29" s="1295"/>
      <c r="AE29" s="1295"/>
      <c r="AF29" s="1295"/>
      <c r="AG29" s="1295"/>
      <c r="AH29" s="1295"/>
      <c r="AI29" s="1295"/>
      <c r="AJ29" s="1295"/>
      <c r="AK29" s="284"/>
      <c r="AL29" s="330"/>
      <c r="AP29" s="247"/>
      <c r="AQ29" s="247"/>
      <c r="AR29" s="247"/>
    </row>
    <row r="30" spans="1:44" ht="18.75" customHeight="1" x14ac:dyDescent="0.25">
      <c r="A30" s="355"/>
      <c r="B30" s="1368" t="s">
        <v>419</v>
      </c>
      <c r="C30" s="1369"/>
      <c r="D30" s="362"/>
      <c r="E30" s="1392" t="s">
        <v>498</v>
      </c>
      <c r="F30" s="1392"/>
      <c r="G30" s="1392"/>
      <c r="H30" s="1392"/>
      <c r="I30" s="249"/>
      <c r="J30" s="249"/>
      <c r="K30" s="329"/>
      <c r="L30" s="1385"/>
      <c r="M30" s="1385"/>
      <c r="N30" s="1385"/>
      <c r="O30" s="1385"/>
      <c r="P30" s="1385"/>
      <c r="Q30" s="1385"/>
      <c r="R30" s="1385"/>
      <c r="S30" s="1385"/>
      <c r="T30" s="1385"/>
      <c r="U30" s="1385"/>
      <c r="V30" s="1385"/>
      <c r="W30" s="1385"/>
      <c r="X30" s="1385"/>
      <c r="Y30" s="1385"/>
      <c r="Z30" s="1385"/>
      <c r="AA30" s="1385"/>
      <c r="AB30" s="1385"/>
      <c r="AC30" s="1385"/>
      <c r="AD30" s="1385"/>
      <c r="AE30" s="1385"/>
      <c r="AF30" s="1385"/>
      <c r="AG30" s="1385"/>
      <c r="AH30" s="1385"/>
      <c r="AI30" s="1385"/>
      <c r="AJ30" s="1385"/>
      <c r="AK30" s="328"/>
      <c r="AL30" s="327"/>
      <c r="AP30" s="247"/>
      <c r="AQ30" s="247"/>
      <c r="AR30" s="247"/>
    </row>
    <row r="31" spans="1:44" ht="18.75" customHeight="1" x14ac:dyDescent="0.25">
      <c r="A31" s="355"/>
      <c r="B31" s="322" t="s">
        <v>416</v>
      </c>
      <c r="C31" s="365">
        <v>0</v>
      </c>
      <c r="D31" s="362"/>
      <c r="E31" s="1392" t="s">
        <v>497</v>
      </c>
      <c r="F31" s="1392"/>
      <c r="G31" s="1392"/>
      <c r="H31" s="1392"/>
      <c r="I31" s="249"/>
      <c r="J31" s="249"/>
      <c r="K31" s="326"/>
      <c r="L31" s="1390" t="s">
        <v>411</v>
      </c>
      <c r="M31" s="1390"/>
      <c r="N31" s="1390"/>
      <c r="O31" s="1390"/>
      <c r="P31" s="1390"/>
      <c r="Q31" s="1390"/>
      <c r="R31" s="1390"/>
      <c r="S31" s="1390"/>
      <c r="T31" s="1390"/>
      <c r="U31" s="1390"/>
      <c r="V31" s="1390"/>
      <c r="W31" s="1390"/>
      <c r="X31" s="1390"/>
      <c r="Y31" s="1390"/>
      <c r="Z31" s="1390"/>
      <c r="AA31" s="1390"/>
      <c r="AB31" s="1390"/>
      <c r="AC31" s="1390"/>
      <c r="AD31" s="1390"/>
      <c r="AE31" s="325">
        <f>FLOOR(1125/(C26-267),1)</f>
        <v>3</v>
      </c>
      <c r="AF31" s="1391" t="str">
        <f>IF(AE31&lt;2,"ящик",IF(AE31&lt;5,"ящика","ящиков"))</f>
        <v>ящика</v>
      </c>
      <c r="AG31" s="1391"/>
      <c r="AH31" s="1391"/>
      <c r="AI31" s="1391"/>
      <c r="AJ31" s="368"/>
      <c r="AK31" s="324"/>
      <c r="AL31" s="323"/>
      <c r="AP31" s="247"/>
      <c r="AQ31" s="247"/>
      <c r="AR31" s="247"/>
    </row>
    <row r="32" spans="1:44" ht="33" customHeight="1" x14ac:dyDescent="0.25">
      <c r="A32" s="355"/>
      <c r="B32" s="322" t="s">
        <v>413</v>
      </c>
      <c r="C32" s="365">
        <v>20</v>
      </c>
      <c r="D32" s="362"/>
      <c r="E32" s="1393" t="s">
        <v>522</v>
      </c>
      <c r="F32" s="1393"/>
      <c r="G32" s="1393"/>
      <c r="H32" s="1393"/>
      <c r="I32" s="249"/>
      <c r="J32" s="249"/>
      <c r="K32" s="257"/>
      <c r="L32" s="284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84"/>
      <c r="AL32" s="330"/>
      <c r="AP32" s="247"/>
      <c r="AQ32" s="247"/>
      <c r="AR32" s="247"/>
    </row>
    <row r="33" spans="1:44" ht="18.75" customHeight="1" x14ac:dyDescent="0.25">
      <c r="A33" s="380"/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28"/>
      <c r="AL33" s="327"/>
      <c r="AP33" s="247"/>
      <c r="AQ33" s="247"/>
      <c r="AR33" s="247"/>
    </row>
    <row r="34" spans="1:44" ht="23.25" x14ac:dyDescent="0.35">
      <c r="A34" s="1356"/>
      <c r="B34" s="1357"/>
      <c r="C34" s="1357"/>
      <c r="D34" s="1357"/>
      <c r="E34" s="1358"/>
      <c r="F34" s="1358"/>
      <c r="G34" s="1358"/>
      <c r="H34" s="1358"/>
      <c r="I34" s="1358"/>
      <c r="J34" s="1358"/>
      <c r="K34" s="1358"/>
    </row>
    <row r="35" spans="1:44" x14ac:dyDescent="0.25">
      <c r="D35" s="320"/>
    </row>
    <row r="36" spans="1:44" ht="15.75" customHeight="1" x14ac:dyDescent="0.25">
      <c r="D36" s="1335"/>
      <c r="E36" s="1336"/>
      <c r="F36" s="1336"/>
      <c r="G36" s="1336"/>
      <c r="H36" s="1336"/>
      <c r="I36" s="1336"/>
      <c r="J36" s="1336"/>
    </row>
    <row r="37" spans="1:44" x14ac:dyDescent="0.25">
      <c r="D37" s="1336"/>
      <c r="E37" s="1336"/>
      <c r="F37" s="1336"/>
      <c r="G37" s="1336"/>
      <c r="H37" s="1336"/>
      <c r="I37" s="1336"/>
      <c r="J37" s="1336"/>
    </row>
    <row r="38" spans="1:44" x14ac:dyDescent="0.25">
      <c r="D38" s="1337"/>
      <c r="E38" s="1338"/>
      <c r="F38" s="1338"/>
      <c r="G38" s="1338"/>
      <c r="H38" s="1338"/>
      <c r="I38" s="1338"/>
      <c r="J38" s="1338"/>
    </row>
    <row r="39" spans="1:44" x14ac:dyDescent="0.25">
      <c r="D39" s="1338"/>
      <c r="E39" s="1338"/>
      <c r="F39" s="1338"/>
      <c r="G39" s="1338"/>
      <c r="H39" s="1338"/>
      <c r="I39" s="1338"/>
      <c r="J39" s="1338"/>
    </row>
    <row r="40" spans="1:44" x14ac:dyDescent="0.25">
      <c r="D40" s="1335"/>
      <c r="E40" s="1339"/>
      <c r="F40" s="1339"/>
      <c r="G40" s="1339"/>
      <c r="H40" s="1339"/>
      <c r="I40" s="1339"/>
      <c r="J40" s="1339"/>
    </row>
    <row r="41" spans="1:44" x14ac:dyDescent="0.25">
      <c r="D41" s="1339"/>
      <c r="E41" s="1339"/>
      <c r="F41" s="1339"/>
      <c r="G41" s="1339"/>
      <c r="H41" s="1339"/>
      <c r="I41" s="1339"/>
      <c r="J41" s="1339"/>
    </row>
    <row r="42" spans="1:44" x14ac:dyDescent="0.25">
      <c r="D42" s="319"/>
    </row>
    <row r="43" spans="1:44" x14ac:dyDescent="0.25">
      <c r="D43" s="1335"/>
      <c r="E43" s="1336"/>
      <c r="F43" s="1336"/>
      <c r="G43" s="1336"/>
      <c r="H43" s="1336"/>
      <c r="I43" s="1336"/>
      <c r="J43" s="1336"/>
    </row>
    <row r="44" spans="1:44" x14ac:dyDescent="0.25">
      <c r="D44" s="1336"/>
      <c r="E44" s="1336"/>
      <c r="F44" s="1336"/>
      <c r="G44" s="1336"/>
      <c r="H44" s="1336"/>
      <c r="I44" s="1336"/>
      <c r="J44" s="1336"/>
    </row>
    <row r="45" spans="1:44" x14ac:dyDescent="0.25">
      <c r="D45" s="318"/>
    </row>
    <row r="46" spans="1:44" x14ac:dyDescent="0.25">
      <c r="D46" s="318"/>
    </row>
  </sheetData>
  <sheetProtection algorithmName="SHA-512" hashValue="luNBMB1LtL7Z9CM2rFAG1qQGhPwoSRbs1AenZoS4u5hQdXkzpjSE3ptMzfK/P5NCX0wnEUrVJyFv1vFTxCJVUw==" saltValue="tHz/ph3tIN3ih+bcor6kmg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cale="89" showGridLines="0" showRowCol="0" fitToPage="1" hiddenColumns="1">
      <selection activeCell="AM5" sqref="AM5"/>
      <pageMargins left="0.70866141732283472" right="0.70866141732283472" top="0.74803149606299213" bottom="0.74803149606299213" header="0.31496062992125984" footer="0.31496062992125984"/>
      <pageSetup paperSize="9" scale="28" orientation="landscape" r:id="rId1"/>
    </customSheetView>
  </customSheetViews>
  <mergeCells count="46">
    <mergeCell ref="L31:AD31"/>
    <mergeCell ref="AF31:AI31"/>
    <mergeCell ref="E31:H31"/>
    <mergeCell ref="E32:H32"/>
    <mergeCell ref="E27:H27"/>
    <mergeCell ref="E28:H28"/>
    <mergeCell ref="E29:H29"/>
    <mergeCell ref="E30:H30"/>
    <mergeCell ref="Y24:AB24"/>
    <mergeCell ref="AC24:AF24"/>
    <mergeCell ref="L29:AJ30"/>
    <mergeCell ref="K25:K28"/>
    <mergeCell ref="U24:X24"/>
    <mergeCell ref="K24:L24"/>
    <mergeCell ref="AU1:AY1"/>
    <mergeCell ref="B30:C30"/>
    <mergeCell ref="M18:R19"/>
    <mergeCell ref="M20:R20"/>
    <mergeCell ref="C22:D22"/>
    <mergeCell ref="M15:AJ17"/>
    <mergeCell ref="S18:X19"/>
    <mergeCell ref="S20:X20"/>
    <mergeCell ref="I16:I23"/>
    <mergeCell ref="B21:D21"/>
    <mergeCell ref="B23:C24"/>
    <mergeCell ref="AG24:AJ24"/>
    <mergeCell ref="E18:F18"/>
    <mergeCell ref="L22:AJ23"/>
    <mergeCell ref="M24:P24"/>
    <mergeCell ref="Q24:T24"/>
    <mergeCell ref="D36:J37"/>
    <mergeCell ref="D38:J39"/>
    <mergeCell ref="D40:J41"/>
    <mergeCell ref="D43:J44"/>
    <mergeCell ref="A1:AK1"/>
    <mergeCell ref="A12:AK12"/>
    <mergeCell ref="B15:D16"/>
    <mergeCell ref="H17:H22"/>
    <mergeCell ref="F24:J24"/>
    <mergeCell ref="G16:G23"/>
    <mergeCell ref="D26:H26"/>
    <mergeCell ref="A34:K34"/>
    <mergeCell ref="Y18:AD19"/>
    <mergeCell ref="Y20:AD20"/>
    <mergeCell ref="AE18:AJ19"/>
    <mergeCell ref="AE20:AJ20"/>
  </mergeCells>
  <conditionalFormatting sqref="H23">
    <cfRule type="expression" dxfId="56" priority="29">
      <formula>$C$22=$AT$3</formula>
    </cfRule>
  </conditionalFormatting>
  <conditionalFormatting sqref="M25:M28">
    <cfRule type="expression" dxfId="55" priority="28">
      <formula>$AZ$2=1</formula>
    </cfRule>
  </conditionalFormatting>
  <conditionalFormatting sqref="N25:N28">
    <cfRule type="expression" dxfId="54" priority="27">
      <formula>$AZ$2=2</formula>
    </cfRule>
  </conditionalFormatting>
  <conditionalFormatting sqref="O25:O28">
    <cfRule type="expression" dxfId="53" priority="26">
      <formula>$AZ$2=3</formula>
    </cfRule>
  </conditionalFormatting>
  <conditionalFormatting sqref="P25:P28">
    <cfRule type="expression" dxfId="52" priority="25">
      <formula>$AZ$2=4</formula>
    </cfRule>
  </conditionalFormatting>
  <conditionalFormatting sqref="Q25:Q28">
    <cfRule type="expression" dxfId="51" priority="24">
      <formula>$AZ$2=5</formula>
    </cfRule>
  </conditionalFormatting>
  <conditionalFormatting sqref="R25:R28">
    <cfRule type="expression" dxfId="50" priority="23">
      <formula>$AZ$2=6</formula>
    </cfRule>
  </conditionalFormatting>
  <conditionalFormatting sqref="S25:S28">
    <cfRule type="expression" dxfId="49" priority="22">
      <formula>$AZ$2=7</formula>
    </cfRule>
  </conditionalFormatting>
  <conditionalFormatting sqref="T25:T28">
    <cfRule type="expression" dxfId="48" priority="21">
      <formula>$AZ$2=8</formula>
    </cfRule>
  </conditionalFormatting>
  <conditionalFormatting sqref="U25:U28">
    <cfRule type="expression" dxfId="47" priority="20">
      <formula>$AZ$2=9</formula>
    </cfRule>
  </conditionalFormatting>
  <conditionalFormatting sqref="V25:V28">
    <cfRule type="expression" dxfId="46" priority="19">
      <formula>$AZ$2=10</formula>
    </cfRule>
  </conditionalFormatting>
  <conditionalFormatting sqref="W25:W28">
    <cfRule type="expression" dxfId="45" priority="18">
      <formula>$AZ$2=11</formula>
    </cfRule>
  </conditionalFormatting>
  <conditionalFormatting sqref="X25:X28">
    <cfRule type="expression" dxfId="44" priority="17">
      <formula>$AZ$2=12</formula>
    </cfRule>
  </conditionalFormatting>
  <conditionalFormatting sqref="Y25:Y28">
    <cfRule type="expression" dxfId="43" priority="16">
      <formula>$AZ$2=13</formula>
    </cfRule>
  </conditionalFormatting>
  <conditionalFormatting sqref="Z25:Z28">
    <cfRule type="expression" dxfId="42" priority="15">
      <formula>$AZ$2=14</formula>
    </cfRule>
  </conditionalFormatting>
  <conditionalFormatting sqref="AA25:AA28">
    <cfRule type="expression" dxfId="41" priority="14">
      <formula>$AZ$2=15</formula>
    </cfRule>
  </conditionalFormatting>
  <conditionalFormatting sqref="AB25:AB28">
    <cfRule type="expression" dxfId="40" priority="13">
      <formula>$AZ$2=16</formula>
    </cfRule>
  </conditionalFormatting>
  <conditionalFormatting sqref="AC25:AC28">
    <cfRule type="expression" dxfId="39" priority="12">
      <formula>$AZ$2=17</formula>
    </cfRule>
  </conditionalFormatting>
  <conditionalFormatting sqref="AD25:AD28">
    <cfRule type="expression" dxfId="38" priority="11">
      <formula>$AZ$2=18</formula>
    </cfRule>
  </conditionalFormatting>
  <conditionalFormatting sqref="AE25:AE28">
    <cfRule type="expression" dxfId="37" priority="10">
      <formula>$AZ$2=19</formula>
    </cfRule>
  </conditionalFormatting>
  <conditionalFormatting sqref="AF25:AF28">
    <cfRule type="expression" dxfId="36" priority="9">
      <formula>$AZ$2=20</formula>
    </cfRule>
  </conditionalFormatting>
  <conditionalFormatting sqref="AG25:AG28">
    <cfRule type="expression" dxfId="35" priority="8">
      <formula>$AZ$2=21</formula>
    </cfRule>
  </conditionalFormatting>
  <conditionalFormatting sqref="AH25:AH28">
    <cfRule type="expression" dxfId="34" priority="7">
      <formula>$AZ$2=22</formula>
    </cfRule>
  </conditionalFormatting>
  <conditionalFormatting sqref="AI25:AI28">
    <cfRule type="expression" dxfId="33" priority="6">
      <formula>$AZ$2=23</formula>
    </cfRule>
  </conditionalFormatting>
  <conditionalFormatting sqref="AJ25:AJ28">
    <cfRule type="expression" dxfId="32" priority="5">
      <formula>$AZ$2=24</formula>
    </cfRule>
  </conditionalFormatting>
  <conditionalFormatting sqref="L25">
    <cfRule type="expression" dxfId="31" priority="4">
      <formula>AND($C$25&lt;350,$AE$20&lt;20)</formula>
    </cfRule>
  </conditionalFormatting>
  <conditionalFormatting sqref="L26">
    <cfRule type="expression" dxfId="30" priority="3">
      <formula>AND($C$25&gt;349,$AE$20&lt;20.01)</formula>
    </cfRule>
  </conditionalFormatting>
  <conditionalFormatting sqref="L27">
    <cfRule type="expression" dxfId="29" priority="2">
      <formula>AND($C$25&gt;349,$AE$20&gt;4.99,$AE$20&lt;40.01)</formula>
    </cfRule>
  </conditionalFormatting>
  <conditionalFormatting sqref="L28">
    <cfRule type="expression" dxfId="28" priority="1">
      <formula>AND($C$25&gt;349,$AE$20&gt;24.99,$AE$20&lt;60)</formula>
    </cfRule>
  </conditionalFormatting>
  <dataValidations count="7">
    <dataValidation type="list" allowBlank="1" showInputMessage="1" showErrorMessage="1" sqref="C25:D25" xr:uid="{00000000-0002-0000-1000-000000000000}">
      <formula1>$AP$2:$AP$12</formula1>
    </dataValidation>
    <dataValidation type="list" allowBlank="1" showInputMessage="1" showErrorMessage="1" sqref="C22:D22" xr:uid="{00000000-0002-0000-1000-000001000000}">
      <formula1>$AT$2:$AT$3</formula1>
    </dataValidation>
    <dataValidation type="list" allowBlank="1" showInputMessage="1" showErrorMessage="1" sqref="D20" xr:uid="{00000000-0002-0000-1000-000002000000}">
      <formula1>$AS$3:$AS$5</formula1>
    </dataValidation>
    <dataValidation type="list" allowBlank="1" showInputMessage="1" showErrorMessage="1" sqref="D18" xr:uid="{00000000-0002-0000-1000-000003000000}">
      <formula1>$AS$2:$AS$5</formula1>
    </dataValidation>
    <dataValidation type="list" allowBlank="1" showInputMessage="1" showErrorMessage="1" sqref="D19" xr:uid="{00000000-0002-0000-1000-000004000000}">
      <formula1>$AS$2:$AS$6</formula1>
    </dataValidation>
    <dataValidation type="list" allowBlank="1" showInputMessage="1" showErrorMessage="1" sqref="C19" xr:uid="{00000000-0002-0000-1000-000005000000}">
      <formula1>$AQ$2:$AQ$7</formula1>
    </dataValidation>
    <dataValidation type="list" allowBlank="1" showInputMessage="1" showErrorMessage="1" sqref="C18 C20" xr:uid="{00000000-0002-0000-1000-000006000000}">
      <formula1>$AQ$2:$AQ$6</formula1>
    </dataValidation>
  </dataValidations>
  <hyperlinks>
    <hyperlink ref="AM1" location="Содержание!R1C1" display="← СОДЕРЖАНИЕ: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2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E6BC-12BB-4187-9458-09AB2DCF6726}">
  <sheetPr codeName="Лист2">
    <tabColor indexed="10"/>
  </sheetPr>
  <dimension ref="A1:T77"/>
  <sheetViews>
    <sheetView showGridLines="0" tabSelected="1" topLeftCell="A16" zoomScaleNormal="100" workbookViewId="0">
      <selection activeCell="S24" sqref="S24"/>
    </sheetView>
  </sheetViews>
  <sheetFormatPr defaultRowHeight="12.75" x14ac:dyDescent="0.2"/>
  <cols>
    <col min="1" max="1" width="32.42578125" customWidth="1"/>
    <col min="2" max="2" width="8.5703125" customWidth="1"/>
    <col min="3" max="4" width="9.42578125" customWidth="1"/>
    <col min="5" max="5" width="10.28515625" customWidth="1"/>
    <col min="6" max="6" width="11.7109375" style="6" customWidth="1"/>
    <col min="7" max="7" width="10.7109375" style="6" customWidth="1"/>
    <col min="8" max="8" width="14.28515625" style="7" customWidth="1"/>
    <col min="9" max="9" width="10.28515625" style="5" customWidth="1"/>
    <col min="10" max="10" width="0.85546875" hidden="1" customWidth="1"/>
    <col min="11" max="11" width="36.85546875" customWidth="1"/>
    <col min="12" max="12" width="33.85546875" customWidth="1"/>
    <col min="13" max="13" width="17.140625" customWidth="1"/>
    <col min="14" max="14" width="5" customWidth="1"/>
  </cols>
  <sheetData>
    <row r="1" spans="1:14" ht="45" customHeight="1" thickBot="1" x14ac:dyDescent="0.25">
      <c r="A1" s="882"/>
      <c r="B1" s="883"/>
      <c r="C1" s="883"/>
      <c r="D1" s="883"/>
      <c r="E1" s="883"/>
      <c r="F1" s="883"/>
      <c r="G1" s="883"/>
      <c r="H1" s="883"/>
      <c r="I1" s="883"/>
      <c r="J1" s="884"/>
      <c r="K1" s="884"/>
      <c r="L1" s="885"/>
      <c r="M1" s="850" t="s">
        <v>544</v>
      </c>
    </row>
    <row r="2" spans="1:14" ht="6" hidden="1" customHeight="1" thickBot="1" x14ac:dyDescent="0.25">
      <c r="A2" s="146"/>
      <c r="B2" s="19"/>
      <c r="C2" s="19"/>
      <c r="D2" s="19"/>
      <c r="E2" s="19"/>
      <c r="F2" s="20"/>
      <c r="G2" s="20"/>
      <c r="H2" s="21"/>
      <c r="I2" s="22"/>
      <c r="J2" s="147"/>
      <c r="L2" s="138"/>
    </row>
    <row r="3" spans="1:14" ht="13.5" customHeight="1" thickBot="1" x14ac:dyDescent="0.25">
      <c r="A3" s="886" t="s">
        <v>170</v>
      </c>
      <c r="B3" s="888" t="s">
        <v>31</v>
      </c>
      <c r="C3" s="905" t="s">
        <v>349</v>
      </c>
      <c r="D3" s="906"/>
      <c r="E3" s="890" t="s">
        <v>370</v>
      </c>
      <c r="F3" s="891"/>
      <c r="G3" s="892" t="s">
        <v>444</v>
      </c>
      <c r="H3" s="893"/>
      <c r="I3" s="893"/>
      <c r="J3" s="147"/>
      <c r="L3" s="138"/>
    </row>
    <row r="4" spans="1:14" ht="20.100000000000001" customHeight="1" thickBot="1" x14ac:dyDescent="0.3">
      <c r="A4" s="887"/>
      <c r="B4" s="889"/>
      <c r="C4" s="907"/>
      <c r="D4" s="908"/>
      <c r="E4" s="462" t="s">
        <v>34</v>
      </c>
      <c r="F4" s="117" t="s">
        <v>35</v>
      </c>
      <c r="G4" s="894"/>
      <c r="H4" s="893"/>
      <c r="I4" s="893"/>
      <c r="J4" s="147"/>
      <c r="L4" s="138"/>
      <c r="N4" s="562"/>
    </row>
    <row r="5" spans="1:14" ht="14.1" customHeight="1" x14ac:dyDescent="0.2">
      <c r="A5" s="895" t="s">
        <v>166</v>
      </c>
      <c r="B5" s="897" t="s">
        <v>1</v>
      </c>
      <c r="C5" s="909">
        <v>1</v>
      </c>
      <c r="D5" s="910"/>
      <c r="E5" s="109">
        <v>960</v>
      </c>
      <c r="F5" s="111">
        <v>2650</v>
      </c>
      <c r="G5" s="894"/>
      <c r="H5" s="893"/>
      <c r="I5" s="893"/>
      <c r="J5" s="17"/>
      <c r="L5" s="138"/>
    </row>
    <row r="6" spans="1:14" ht="14.1" customHeight="1" x14ac:dyDescent="0.2">
      <c r="A6" s="896"/>
      <c r="B6" s="898"/>
      <c r="C6" s="909">
        <v>2</v>
      </c>
      <c r="D6" s="910"/>
      <c r="E6" s="109">
        <v>2600</v>
      </c>
      <c r="F6" s="111">
        <v>5500</v>
      </c>
      <c r="G6" s="894"/>
      <c r="H6" s="893"/>
      <c r="I6" s="893"/>
      <c r="J6" s="14"/>
      <c r="L6" s="138"/>
    </row>
    <row r="7" spans="1:14" ht="16.5" customHeight="1" x14ac:dyDescent="0.2">
      <c r="A7" s="12" t="s">
        <v>167</v>
      </c>
      <c r="B7" s="101" t="s">
        <v>3</v>
      </c>
      <c r="C7" s="909">
        <v>2</v>
      </c>
      <c r="D7" s="910"/>
      <c r="E7" s="109">
        <v>5350</v>
      </c>
      <c r="F7" s="111">
        <v>10150</v>
      </c>
      <c r="G7" s="894"/>
      <c r="H7" s="893"/>
      <c r="I7" s="893"/>
      <c r="J7" s="14"/>
      <c r="L7" s="138"/>
    </row>
    <row r="8" spans="1:14" ht="11.25" customHeight="1" thickBot="1" x14ac:dyDescent="0.25">
      <c r="A8" s="899" t="s">
        <v>168</v>
      </c>
      <c r="B8" s="901" t="s">
        <v>5</v>
      </c>
      <c r="C8" s="909">
        <v>2</v>
      </c>
      <c r="D8" s="910"/>
      <c r="E8" s="109">
        <v>9000</v>
      </c>
      <c r="F8" s="111">
        <v>17250</v>
      </c>
      <c r="G8" s="894"/>
      <c r="H8" s="893"/>
      <c r="I8" s="893"/>
      <c r="J8" s="18"/>
      <c r="L8" s="148"/>
      <c r="M8" s="89"/>
    </row>
    <row r="9" spans="1:14" ht="14.25" customHeight="1" thickBot="1" x14ac:dyDescent="0.25">
      <c r="A9" s="900"/>
      <c r="B9" s="902"/>
      <c r="C9" s="953">
        <v>3</v>
      </c>
      <c r="D9" s="954"/>
      <c r="E9" s="114">
        <v>13500</v>
      </c>
      <c r="F9" s="115">
        <v>25900</v>
      </c>
      <c r="G9" s="894"/>
      <c r="H9" s="893"/>
      <c r="I9" s="893"/>
      <c r="J9" s="14"/>
      <c r="L9" s="148"/>
      <c r="M9" s="89"/>
    </row>
    <row r="10" spans="1:14" ht="63.75" customHeight="1" thickBot="1" x14ac:dyDescent="0.25">
      <c r="A10" s="118" t="s">
        <v>347</v>
      </c>
      <c r="B10" s="703" t="s">
        <v>31</v>
      </c>
      <c r="C10" s="911" t="s">
        <v>371</v>
      </c>
      <c r="D10" s="912"/>
      <c r="E10" s="903" t="s">
        <v>67</v>
      </c>
      <c r="F10" s="904"/>
      <c r="G10" s="894"/>
      <c r="H10" s="893"/>
      <c r="I10" s="893"/>
      <c r="J10" s="123"/>
      <c r="K10" s="123"/>
      <c r="L10" s="149"/>
      <c r="M10" s="565"/>
    </row>
    <row r="11" spans="1:14" ht="14.1" customHeight="1" thickBot="1" x14ac:dyDescent="0.25">
      <c r="A11" s="108" t="s">
        <v>169</v>
      </c>
      <c r="B11" s="102" t="s">
        <v>263</v>
      </c>
      <c r="C11" s="918">
        <v>2</v>
      </c>
      <c r="D11" s="919"/>
      <c r="E11" s="116">
        <v>480</v>
      </c>
      <c r="F11" s="110">
        <v>570</v>
      </c>
      <c r="G11" s="894"/>
      <c r="H11" s="893"/>
      <c r="I11" s="893"/>
      <c r="J11" s="17"/>
      <c r="L11" s="138"/>
      <c r="M11" s="563"/>
    </row>
    <row r="12" spans="1:14" ht="14.1" customHeight="1" thickBot="1" x14ac:dyDescent="0.25">
      <c r="A12" s="16" t="s">
        <v>6</v>
      </c>
      <c r="B12" s="102" t="s">
        <v>7</v>
      </c>
      <c r="C12" s="918">
        <v>2</v>
      </c>
      <c r="D12" s="919"/>
      <c r="E12" s="109">
        <v>560</v>
      </c>
      <c r="F12" s="110">
        <v>710</v>
      </c>
      <c r="G12" s="894"/>
      <c r="H12" s="893"/>
      <c r="I12" s="893"/>
      <c r="J12" s="14"/>
      <c r="L12" s="138"/>
      <c r="M12" s="564"/>
    </row>
    <row r="13" spans="1:14" ht="14.1" customHeight="1" thickBot="1" x14ac:dyDescent="0.25">
      <c r="A13" s="12" t="s">
        <v>8</v>
      </c>
      <c r="B13" s="103" t="s">
        <v>9</v>
      </c>
      <c r="C13" s="918">
        <v>2</v>
      </c>
      <c r="D13" s="919"/>
      <c r="E13" s="109">
        <v>700</v>
      </c>
      <c r="F13" s="111">
        <v>900</v>
      </c>
      <c r="G13" s="894"/>
      <c r="H13" s="893"/>
      <c r="I13" s="893"/>
      <c r="J13" s="14"/>
      <c r="L13" s="138"/>
    </row>
    <row r="14" spans="1:14" ht="14.1" customHeight="1" thickBot="1" x14ac:dyDescent="0.25">
      <c r="A14" s="13" t="s">
        <v>10</v>
      </c>
      <c r="B14" s="104" t="s">
        <v>11</v>
      </c>
      <c r="C14" s="918">
        <v>2</v>
      </c>
      <c r="D14" s="919"/>
      <c r="E14" s="112">
        <v>760</v>
      </c>
      <c r="F14" s="113">
        <v>1040</v>
      </c>
      <c r="G14" s="894"/>
      <c r="H14" s="893"/>
      <c r="I14" s="893"/>
      <c r="J14" s="18"/>
      <c r="L14" s="138"/>
    </row>
    <row r="15" spans="1:14" ht="18" customHeight="1" thickBot="1" x14ac:dyDescent="0.25">
      <c r="A15" s="926" t="s">
        <v>381</v>
      </c>
      <c r="B15" s="927"/>
      <c r="C15" s="927"/>
      <c r="D15" s="927"/>
      <c r="E15" s="927"/>
      <c r="F15" s="927"/>
      <c r="G15" s="927"/>
      <c r="H15" s="927"/>
      <c r="I15" s="927"/>
      <c r="J15" s="927"/>
      <c r="K15" s="927"/>
      <c r="L15" s="928"/>
    </row>
    <row r="16" spans="1:14" ht="43.5" customHeight="1" thickBot="1" x14ac:dyDescent="0.25">
      <c r="A16" s="929" t="s">
        <v>340</v>
      </c>
      <c r="B16" s="930"/>
      <c r="C16" s="931"/>
      <c r="D16" s="517" t="s">
        <v>585</v>
      </c>
      <c r="E16" s="527" t="s">
        <v>33</v>
      </c>
      <c r="F16" s="528" t="s">
        <v>32</v>
      </c>
      <c r="G16" s="529" t="s">
        <v>416</v>
      </c>
      <c r="H16" s="530" t="s">
        <v>40</v>
      </c>
      <c r="I16" s="531" t="s">
        <v>36</v>
      </c>
      <c r="J16" s="119"/>
      <c r="K16" s="462" t="s">
        <v>350</v>
      </c>
      <c r="L16" s="532" t="s">
        <v>347</v>
      </c>
    </row>
    <row r="17" spans="1:20" ht="24.95" customHeight="1" thickBot="1" x14ac:dyDescent="0.25">
      <c r="A17" s="920" t="s">
        <v>586</v>
      </c>
      <c r="B17" s="921"/>
      <c r="C17" s="922"/>
      <c r="D17" s="704">
        <v>18</v>
      </c>
      <c r="E17" s="515">
        <v>1000</v>
      </c>
      <c r="F17" s="417">
        <v>600</v>
      </c>
      <c r="G17" s="417">
        <v>0</v>
      </c>
      <c r="H17" s="488">
        <f>(E17-6)/1000*(F17-4)/1000*D17/1000*680+(G17/1000)</f>
        <v>7.2512697599999996</v>
      </c>
      <c r="I17" s="489">
        <f>H17*E17</f>
        <v>7251.2697599999992</v>
      </c>
      <c r="J17" s="533"/>
      <c r="K17" s="534" t="str">
        <f>IF(I17&lt;2600,"очень лёгкий фасад, 1 силовой механизм AVENTOS HF 22 (20F2201)",IF(I17&lt;5350,"2 силовых механизма AVENTOS HF 22 (20F2201)",IF(I17&lt;9000,"2 силовых механизма AVENTOS HF 25 (20F2501)",IF(I17&lt;17250,"2 силовых механизма AVENTOS HF 28 (20F2801)",IF(I17&lt;25900,"3 силовых механизма AVENTOS HF 28 (20F2801)",IF(I17&gt;25900,"очень тяжёлый фасад, недопустимая величина",))))))</f>
        <v>2 силовых механизма AVENTOS HF 25 (20F2501)</v>
      </c>
      <c r="L17" s="535" t="str">
        <f>IF(E17&lt;480,"Недопустимо, минимальная высота 480 мм",IF(E17&lt;565,"Рычаг 32 (20F3200)",IF(E17&lt;705,"Рычаг 35 (20F3501)",IF(E17&lt;891,"Рычаг 38 (20F3801)",IF(E17&lt;1041,"Рычаг 39 (20F3901)",IF(E17&gt;1040,"Недопустимо, максимальная высота 1040 мм",))))))</f>
        <v>Рычаг 39 (20F3901)</v>
      </c>
    </row>
    <row r="18" spans="1:20" ht="24.95" customHeight="1" thickBot="1" x14ac:dyDescent="0.25">
      <c r="A18" s="923" t="s">
        <v>587</v>
      </c>
      <c r="B18" s="924"/>
      <c r="C18" s="925"/>
      <c r="D18" s="526">
        <v>19</v>
      </c>
      <c r="E18" s="516">
        <v>800</v>
      </c>
      <c r="F18" s="418">
        <v>920</v>
      </c>
      <c r="G18" s="418">
        <v>0</v>
      </c>
      <c r="H18" s="488">
        <f>(E18-6)/1000*(F18-4)/1000*D18/1000*760+(G18/1000)</f>
        <v>10.502269760000001</v>
      </c>
      <c r="I18" s="489">
        <f>H18*E18</f>
        <v>8401.8158080000012</v>
      </c>
      <c r="J18" s="90"/>
      <c r="K18" s="124" t="str">
        <f t="shared" ref="K18:K25" si="0">IF(I18&lt;2600,"очень лёгкий фасад, 1 силовой механизм AVENTOS HF 22 (20F2201)",IF(I18&lt;5350,"2 силовых механизма AVENTOS HF 22 (20F2201)",IF(I18&lt;9000,"2 силовых механизма AVENTOS HF 25 (20F2501)",IF(I18&lt;17250,"2 силовых механизма AVENTOS HF 28 (20F2801)",IF(I18&lt;25900,"3 силовых механизма AVENTOS HF 28 (20F2801)",IF(I18&gt;25900,"очень тяжёлый фасад, недопустимая величина",))))))</f>
        <v>2 силовых механизма AVENTOS HF 25 (20F2501)</v>
      </c>
      <c r="L18" s="96" t="str">
        <f t="shared" ref="L18:L25" si="1">IF(E18&lt;480,"Недопустимо, минимальная высота 480 мм",IF(E18&lt;565,"Рычаг 32 (20F3200)",IF(E18&lt;705,"Рычаг 35 (20F3501)",IF(E18&lt;891,"Рычаг 38 (20F3801)",IF(E18&lt;1041,"Рычаг 39 (20F3901)",IF(E18&gt;1040,"Недопустимо, максимальная высота 1040 мм",))))))</f>
        <v>Рычаг 38 (20F3801)</v>
      </c>
    </row>
    <row r="19" spans="1:20" ht="24.95" customHeight="1" thickBot="1" x14ac:dyDescent="0.25">
      <c r="A19" s="949" t="s">
        <v>341</v>
      </c>
      <c r="B19" s="950"/>
      <c r="C19" s="950"/>
      <c r="D19" s="951"/>
      <c r="E19" s="515">
        <v>720</v>
      </c>
      <c r="F19" s="417">
        <v>1000</v>
      </c>
      <c r="G19" s="417">
        <v>0</v>
      </c>
      <c r="H19" s="106">
        <f>(E19-4)/1000*(F19-4)/1000*11.5+(G19/1000)</f>
        <v>8.2010640000000006</v>
      </c>
      <c r="I19" s="99">
        <f t="shared" ref="I19:I25" si="2">E19*(H19+0.6)</f>
        <v>6336.7660800000003</v>
      </c>
      <c r="J19" s="100"/>
      <c r="K19" s="97" t="str">
        <f t="shared" si="0"/>
        <v>2 силовых механизма AVENTOS HF 25 (20F2501)</v>
      </c>
      <c r="L19" s="98" t="str">
        <f t="shared" si="1"/>
        <v>Рычаг 38 (20F3801)</v>
      </c>
    </row>
    <row r="20" spans="1:20" ht="24.95" customHeight="1" thickBot="1" x14ac:dyDescent="0.25">
      <c r="A20" s="952" t="s">
        <v>342</v>
      </c>
      <c r="B20" s="950"/>
      <c r="C20" s="950"/>
      <c r="D20" s="951"/>
      <c r="E20" s="516">
        <v>575</v>
      </c>
      <c r="F20" s="418">
        <v>1350</v>
      </c>
      <c r="G20" s="418">
        <v>340</v>
      </c>
      <c r="H20" s="105">
        <f>(E20-4)/1000*(F20-4)/1000*11.5+(G20/1000)</f>
        <v>9.178509</v>
      </c>
      <c r="I20" s="91">
        <f t="shared" si="2"/>
        <v>5622.6426750000001</v>
      </c>
      <c r="J20" s="90"/>
      <c r="K20" s="124" t="str">
        <f t="shared" si="0"/>
        <v>2 силовых механизма AVENTOS HF 25 (20F2501)</v>
      </c>
      <c r="L20" s="96" t="str">
        <f t="shared" si="1"/>
        <v>Рычаг 35 (20F3501)</v>
      </c>
      <c r="N20" s="566"/>
      <c r="O20" s="566"/>
      <c r="P20" s="566"/>
      <c r="Q20" s="566"/>
      <c r="R20" s="566"/>
      <c r="S20" s="566"/>
      <c r="T20" s="566"/>
    </row>
    <row r="21" spans="1:20" ht="24.95" customHeight="1" thickBot="1" x14ac:dyDescent="0.25">
      <c r="A21" s="949" t="s">
        <v>343</v>
      </c>
      <c r="B21" s="950"/>
      <c r="C21" s="950"/>
      <c r="D21" s="951"/>
      <c r="E21" s="515">
        <v>750</v>
      </c>
      <c r="F21" s="417">
        <v>800</v>
      </c>
      <c r="G21" s="417">
        <v>0</v>
      </c>
      <c r="H21" s="106">
        <f>(E21-4)/1000*(F21-4)/1000*(11.5+15.5)/2+(G21/1000)</f>
        <v>8.0165159999999993</v>
      </c>
      <c r="I21" s="99">
        <f t="shared" si="2"/>
        <v>6462.3869999999988</v>
      </c>
      <c r="J21" s="100"/>
      <c r="K21" s="97" t="str">
        <f t="shared" si="0"/>
        <v>2 силовых механизма AVENTOS HF 25 (20F2501)</v>
      </c>
      <c r="L21" s="98" t="str">
        <f t="shared" si="1"/>
        <v>Рычаг 38 (20F3801)</v>
      </c>
      <c r="N21" s="566"/>
      <c r="O21" s="1442"/>
      <c r="P21" s="566"/>
      <c r="Q21" s="566"/>
      <c r="R21" s="566"/>
      <c r="S21" s="566"/>
      <c r="T21" s="566"/>
    </row>
    <row r="22" spans="1:20" ht="24.95" customHeight="1" thickBot="1" x14ac:dyDescent="0.25">
      <c r="A22" s="952" t="s">
        <v>344</v>
      </c>
      <c r="B22" s="950"/>
      <c r="C22" s="950"/>
      <c r="D22" s="951"/>
      <c r="E22" s="516">
        <v>800</v>
      </c>
      <c r="F22" s="418">
        <v>800</v>
      </c>
      <c r="G22" s="418">
        <v>0</v>
      </c>
      <c r="H22" s="105">
        <f>(E22-4)/1000*(F22-4)/1000*(11.5+12.5)/2+(G22/1000)</f>
        <v>7.6033919999999995</v>
      </c>
      <c r="I22" s="91">
        <f t="shared" si="2"/>
        <v>6562.7135999999991</v>
      </c>
      <c r="J22" s="90"/>
      <c r="K22" s="124" t="str">
        <f t="shared" si="0"/>
        <v>2 силовых механизма AVENTOS HF 25 (20F2501)</v>
      </c>
      <c r="L22" s="96" t="str">
        <f t="shared" si="1"/>
        <v>Рычаг 38 (20F3801)</v>
      </c>
      <c r="N22" s="566"/>
      <c r="O22" s="566"/>
      <c r="P22" s="566"/>
      <c r="Q22" s="566"/>
      <c r="R22" s="566"/>
      <c r="S22" s="566"/>
      <c r="T22" s="566"/>
    </row>
    <row r="23" spans="1:20" ht="24.95" customHeight="1" thickBot="1" x14ac:dyDescent="0.25">
      <c r="A23" s="949" t="s">
        <v>336</v>
      </c>
      <c r="B23" s="950"/>
      <c r="C23" s="950"/>
      <c r="D23" s="951"/>
      <c r="E23" s="515">
        <v>481</v>
      </c>
      <c r="F23" s="417">
        <v>1200</v>
      </c>
      <c r="G23" s="417">
        <v>0</v>
      </c>
      <c r="H23" s="106">
        <f>(E23-4)/1000*(F23-4)/1000*8.8+(G23/1000)</f>
        <v>5.0203296000000002</v>
      </c>
      <c r="I23" s="99">
        <f t="shared" si="2"/>
        <v>2703.3785376000001</v>
      </c>
      <c r="J23" s="100"/>
      <c r="K23" s="97" t="str">
        <f t="shared" si="0"/>
        <v>2 силовых механизма AVENTOS HF 22 (20F2201)</v>
      </c>
      <c r="L23" s="98" t="str">
        <f t="shared" si="1"/>
        <v>Рычаг 32 (20F3200)</v>
      </c>
      <c r="N23" s="566"/>
      <c r="O23" s="566"/>
      <c r="P23" s="566"/>
      <c r="Q23" s="566"/>
      <c r="R23" s="566"/>
      <c r="S23" s="566"/>
      <c r="T23" s="566"/>
    </row>
    <row r="24" spans="1:20" ht="24.95" customHeight="1" thickBot="1" x14ac:dyDescent="0.25">
      <c r="A24" s="952" t="s">
        <v>337</v>
      </c>
      <c r="B24" s="950"/>
      <c r="C24" s="950"/>
      <c r="D24" s="951"/>
      <c r="E24" s="516">
        <v>600</v>
      </c>
      <c r="F24" s="418">
        <v>800</v>
      </c>
      <c r="G24" s="418">
        <v>0</v>
      </c>
      <c r="H24" s="107">
        <f>(E24-4)/1000*(F24-4)/1000*(12+15.5)/2+(G24/1000)</f>
        <v>6.5232200000000002</v>
      </c>
      <c r="I24" s="91">
        <f t="shared" si="2"/>
        <v>4273.9319999999998</v>
      </c>
      <c r="J24" s="95"/>
      <c r="K24" s="124" t="str">
        <f t="shared" si="0"/>
        <v>2 силовых механизма AVENTOS HF 22 (20F2201)</v>
      </c>
      <c r="L24" s="96" t="str">
        <f t="shared" si="1"/>
        <v>Рычаг 35 (20F3501)</v>
      </c>
      <c r="N24" s="566"/>
      <c r="O24" s="566"/>
      <c r="P24" s="566"/>
      <c r="Q24" s="566"/>
      <c r="R24" s="566"/>
      <c r="S24" s="566"/>
      <c r="T24" s="566"/>
    </row>
    <row r="25" spans="1:20" ht="25.5" customHeight="1" thickBot="1" x14ac:dyDescent="0.25">
      <c r="A25" s="962" t="s">
        <v>537</v>
      </c>
      <c r="B25" s="963"/>
      <c r="C25" s="963"/>
      <c r="D25" s="964"/>
      <c r="E25" s="515">
        <v>750</v>
      </c>
      <c r="F25" s="417">
        <v>1000</v>
      </c>
      <c r="G25" s="417">
        <v>0</v>
      </c>
      <c r="H25" s="392">
        <f>(E25-3)/1000*(F25)/1000*4*(2500/1000)+(E25-3)/1000*(F25)/1000*16*(680/1000)+(G25/1000)</f>
        <v>15.597360000000002</v>
      </c>
      <c r="I25" s="99">
        <f t="shared" si="2"/>
        <v>12148.020000000002</v>
      </c>
      <c r="J25" s="393"/>
      <c r="K25" s="400" t="str">
        <f t="shared" si="0"/>
        <v>2 силовых механизма AVENTOS HF 28 (20F2801)</v>
      </c>
      <c r="L25" s="401" t="str">
        <f t="shared" si="1"/>
        <v>Рычаг 38 (20F3801)</v>
      </c>
      <c r="N25" s="566"/>
      <c r="O25" s="566"/>
      <c r="P25" s="566"/>
      <c r="Q25" s="566"/>
      <c r="R25" s="566"/>
      <c r="S25" s="566"/>
      <c r="T25" s="566"/>
    </row>
    <row r="26" spans="1:20" ht="18.75" thickBot="1" x14ac:dyDescent="0.25">
      <c r="A26" s="956"/>
      <c r="B26" s="957"/>
      <c r="C26" s="957"/>
      <c r="D26" s="492"/>
      <c r="E26" s="394"/>
      <c r="F26" s="394"/>
      <c r="G26" s="394"/>
      <c r="H26" s="395"/>
      <c r="I26" s="396"/>
      <c r="J26" s="397"/>
      <c r="K26" s="398"/>
      <c r="L26" s="399"/>
      <c r="N26" s="566"/>
      <c r="O26" s="566"/>
      <c r="P26" s="566"/>
      <c r="Q26" s="566"/>
      <c r="R26" s="566"/>
      <c r="S26" s="566"/>
      <c r="T26" s="566"/>
    </row>
    <row r="27" spans="1:20" ht="32.25" customHeight="1" thickBot="1" x14ac:dyDescent="0.25">
      <c r="A27" s="968" t="s">
        <v>345</v>
      </c>
      <c r="B27" s="969"/>
      <c r="C27" s="969"/>
      <c r="D27" s="912"/>
      <c r="E27" s="676"/>
      <c r="F27" s="677" t="s">
        <v>601</v>
      </c>
      <c r="G27" s="678"/>
      <c r="H27" s="678"/>
      <c r="I27" s="678"/>
      <c r="J27" s="678"/>
      <c r="K27" s="678"/>
      <c r="L27" s="915" t="s">
        <v>664</v>
      </c>
      <c r="M27" s="916"/>
      <c r="N27" s="917"/>
      <c r="O27" s="566"/>
      <c r="P27" s="566"/>
      <c r="Q27" s="566"/>
      <c r="R27" s="566"/>
      <c r="S27" s="566"/>
      <c r="T27" s="566"/>
    </row>
    <row r="28" spans="1:20" x14ac:dyDescent="0.2">
      <c r="A28" s="568" t="s">
        <v>0</v>
      </c>
      <c r="B28" s="43" t="s">
        <v>1</v>
      </c>
      <c r="C28" s="44">
        <v>2</v>
      </c>
      <c r="D28" s="669"/>
      <c r="E28" s="679"/>
      <c r="F28" s="942" t="s">
        <v>605</v>
      </c>
      <c r="G28" s="943"/>
      <c r="H28" s="943"/>
      <c r="I28" s="943"/>
      <c r="J28" s="943"/>
      <c r="K28" s="943"/>
      <c r="L28" s="943"/>
      <c r="N28" s="816"/>
      <c r="O28" s="566"/>
      <c r="P28" s="566"/>
      <c r="Q28" s="566"/>
      <c r="R28" s="566"/>
      <c r="S28" s="566"/>
      <c r="T28" s="566"/>
    </row>
    <row r="29" spans="1:20" ht="12.75" customHeight="1" thickBot="1" x14ac:dyDescent="0.25">
      <c r="A29" s="569" t="s">
        <v>2</v>
      </c>
      <c r="B29" s="2" t="s">
        <v>3</v>
      </c>
      <c r="C29" s="28">
        <v>2</v>
      </c>
      <c r="D29" s="669"/>
      <c r="E29" s="679"/>
      <c r="F29" s="946"/>
      <c r="G29" s="947"/>
      <c r="H29" s="948"/>
      <c r="L29" s="19"/>
      <c r="N29" s="816"/>
      <c r="O29" s="566"/>
      <c r="P29" s="566"/>
      <c r="Q29" s="566"/>
      <c r="R29" s="566"/>
      <c r="S29" s="566"/>
      <c r="T29" s="566"/>
    </row>
    <row r="30" spans="1:20" ht="18.75" thickBot="1" x14ac:dyDescent="0.3">
      <c r="A30" s="570" t="s">
        <v>4</v>
      </c>
      <c r="B30" s="3" t="s">
        <v>5</v>
      </c>
      <c r="C30" s="29">
        <v>2</v>
      </c>
      <c r="D30" s="669"/>
      <c r="E30" s="679"/>
      <c r="F30" s="940" t="s">
        <v>602</v>
      </c>
      <c r="G30" s="941"/>
      <c r="H30" s="941"/>
      <c r="I30" s="671">
        <v>900</v>
      </c>
      <c r="L30" s="680" t="s">
        <v>603</v>
      </c>
      <c r="M30" s="702">
        <v>448</v>
      </c>
      <c r="N30" s="817" t="s">
        <v>68</v>
      </c>
    </row>
    <row r="31" spans="1:20" ht="16.5" thickBot="1" x14ac:dyDescent="0.3">
      <c r="A31" s="571"/>
      <c r="B31" s="23"/>
      <c r="C31" s="23"/>
      <c r="D31" s="674"/>
      <c r="E31" s="679"/>
      <c r="K31" s="681"/>
      <c r="L31" s="682"/>
      <c r="M31" s="138"/>
      <c r="N31" s="817"/>
    </row>
    <row r="32" spans="1:20" ht="18.75" thickBot="1" x14ac:dyDescent="0.3">
      <c r="A32" s="572" t="s">
        <v>169</v>
      </c>
      <c r="B32" s="1" t="s">
        <v>263</v>
      </c>
      <c r="C32" s="27">
        <v>2</v>
      </c>
      <c r="D32" s="669"/>
      <c r="E32" s="679"/>
      <c r="F32" s="683"/>
      <c r="G32" s="683"/>
      <c r="H32" s="683"/>
      <c r="L32" s="680" t="s">
        <v>604</v>
      </c>
      <c r="M32" s="702">
        <v>16</v>
      </c>
      <c r="N32" s="817" t="s">
        <v>68</v>
      </c>
    </row>
    <row r="33" spans="1:18" x14ac:dyDescent="0.2">
      <c r="A33" s="568" t="s">
        <v>6</v>
      </c>
      <c r="B33" s="43" t="s">
        <v>7</v>
      </c>
      <c r="C33" s="44">
        <v>2</v>
      </c>
      <c r="D33" s="669"/>
      <c r="E33" s="938">
        <f>IF(I30&lt;480,"Мин. высота 480 мм",IF(I30&lt;550,(I30*0.3)-28,IF(I30&lt;1041,(I30*0.3)-57,IF(I30&gt;1040,"Макс. высота 1040 мм",))))</f>
        <v>213</v>
      </c>
      <c r="F33" s="684"/>
      <c r="G33" s="684"/>
      <c r="H33" s="684"/>
      <c r="I33" s="685"/>
      <c r="J33" s="686"/>
      <c r="K33" s="699"/>
      <c r="L33" s="686"/>
      <c r="M33" s="689"/>
      <c r="N33" s="138"/>
    </row>
    <row r="34" spans="1:18" ht="11.25" customHeight="1" x14ac:dyDescent="0.2">
      <c r="A34" s="569" t="s">
        <v>8</v>
      </c>
      <c r="B34" s="4" t="s">
        <v>9</v>
      </c>
      <c r="C34" s="28">
        <v>2</v>
      </c>
      <c r="D34" s="669"/>
      <c r="E34" s="939"/>
      <c r="F34" s="687"/>
      <c r="G34" s="687"/>
      <c r="H34" s="687"/>
      <c r="I34" s="688"/>
      <c r="J34" s="689"/>
      <c r="K34" s="700"/>
      <c r="L34" s="689"/>
      <c r="M34" s="689"/>
      <c r="N34" s="138"/>
    </row>
    <row r="35" spans="1:18" ht="26.25" customHeight="1" thickBot="1" x14ac:dyDescent="0.25">
      <c r="A35" s="570" t="s">
        <v>10</v>
      </c>
      <c r="B35" s="3" t="s">
        <v>11</v>
      </c>
      <c r="C35" s="29">
        <v>2</v>
      </c>
      <c r="D35" s="669"/>
      <c r="E35" s="939"/>
      <c r="F35" s="687"/>
      <c r="G35" s="687"/>
      <c r="H35" s="687"/>
      <c r="I35" s="688"/>
      <c r="J35" s="689"/>
      <c r="K35" s="700"/>
      <c r="L35" s="689"/>
      <c r="M35" s="689"/>
      <c r="N35" s="138"/>
    </row>
    <row r="36" spans="1:18" ht="45" customHeight="1" thickBot="1" x14ac:dyDescent="0.25">
      <c r="A36" s="958" t="s">
        <v>84</v>
      </c>
      <c r="B36" s="959"/>
      <c r="C36" s="26"/>
      <c r="D36" s="670"/>
      <c r="E36" s="939"/>
      <c r="F36" s="673"/>
      <c r="G36" s="673"/>
      <c r="H36" s="673"/>
      <c r="I36" s="688"/>
      <c r="J36" s="689"/>
      <c r="K36" s="700"/>
      <c r="L36" s="689"/>
      <c r="M36" s="689"/>
      <c r="N36" s="138"/>
    </row>
    <row r="37" spans="1:18" x14ac:dyDescent="0.2">
      <c r="A37" s="573" t="s">
        <v>12</v>
      </c>
      <c r="B37" s="11" t="s">
        <v>292</v>
      </c>
      <c r="C37" s="30">
        <v>6</v>
      </c>
      <c r="D37" s="675"/>
      <c r="E37" s="690" t="s">
        <v>599</v>
      </c>
      <c r="F37" s="672"/>
      <c r="G37" s="672"/>
      <c r="H37" s="673"/>
      <c r="I37" s="688"/>
      <c r="J37" s="689"/>
      <c r="K37" s="700"/>
      <c r="L37" s="689"/>
      <c r="M37" s="689"/>
      <c r="N37" s="138"/>
    </row>
    <row r="38" spans="1:18" ht="22.5" x14ac:dyDescent="0.2">
      <c r="A38" s="575" t="s">
        <v>13</v>
      </c>
      <c r="B38" s="15" t="s">
        <v>14</v>
      </c>
      <c r="C38" s="31">
        <v>2</v>
      </c>
      <c r="D38" s="675"/>
      <c r="E38" s="691" t="s">
        <v>598</v>
      </c>
      <c r="F38" s="673"/>
      <c r="G38" s="673"/>
      <c r="H38" s="673"/>
      <c r="I38" s="688"/>
      <c r="J38" s="689"/>
      <c r="K38" s="700"/>
      <c r="L38" s="689"/>
      <c r="M38" s="689"/>
      <c r="N38" s="138"/>
    </row>
    <row r="39" spans="1:18" x14ac:dyDescent="0.2">
      <c r="A39" s="575" t="s">
        <v>15</v>
      </c>
      <c r="B39" s="15" t="s">
        <v>16</v>
      </c>
      <c r="C39" s="31">
        <v>2</v>
      </c>
      <c r="D39" s="675"/>
      <c r="E39" s="692"/>
      <c r="F39" s="673"/>
      <c r="G39" s="673"/>
      <c r="H39" s="673"/>
      <c r="I39" s="688"/>
      <c r="J39" s="689"/>
      <c r="K39" s="700"/>
      <c r="L39" s="689"/>
      <c r="M39" s="689"/>
      <c r="N39" s="138"/>
    </row>
    <row r="40" spans="1:18" x14ac:dyDescent="0.2">
      <c r="A40" s="575" t="s">
        <v>17</v>
      </c>
      <c r="B40" s="24" t="s">
        <v>18</v>
      </c>
      <c r="C40" s="31">
        <v>1</v>
      </c>
      <c r="D40" s="675"/>
      <c r="E40" s="692"/>
      <c r="F40" s="673"/>
      <c r="G40" s="673"/>
      <c r="H40" s="673"/>
      <c r="I40" s="688"/>
      <c r="J40" s="689"/>
      <c r="K40" s="700"/>
      <c r="L40" s="689"/>
      <c r="M40" s="689"/>
      <c r="N40" s="138"/>
    </row>
    <row r="41" spans="1:18" x14ac:dyDescent="0.2">
      <c r="A41" s="575" t="s">
        <v>19</v>
      </c>
      <c r="B41" s="24" t="s">
        <v>20</v>
      </c>
      <c r="C41" s="31">
        <v>1</v>
      </c>
      <c r="D41" s="675"/>
      <c r="E41" s="692"/>
      <c r="F41" s="673"/>
      <c r="G41" s="673"/>
      <c r="H41" s="673"/>
      <c r="I41" s="688"/>
      <c r="J41" s="689"/>
      <c r="K41" s="700"/>
      <c r="L41" s="689"/>
      <c r="M41" s="689"/>
      <c r="N41" s="138"/>
    </row>
    <row r="42" spans="1:18" ht="13.5" thickBot="1" x14ac:dyDescent="0.25">
      <c r="A42" s="576" t="s">
        <v>21</v>
      </c>
      <c r="B42" s="25" t="s">
        <v>22</v>
      </c>
      <c r="C42" s="32">
        <v>2</v>
      </c>
      <c r="D42" s="675"/>
      <c r="E42" s="692"/>
      <c r="F42" s="673"/>
      <c r="G42" s="673"/>
      <c r="H42" s="673"/>
      <c r="I42" s="688"/>
      <c r="J42" s="689"/>
      <c r="K42" s="700"/>
      <c r="L42" s="689"/>
      <c r="M42" s="936">
        <f>IF(I30&lt;550,(M30/2)+70,IF(I30&lt;1041,(M30/2)+47,))</f>
        <v>271</v>
      </c>
      <c r="N42" s="138"/>
    </row>
    <row r="43" spans="1:18" ht="18.75" thickBot="1" x14ac:dyDescent="0.25">
      <c r="A43" s="960" t="s">
        <v>85</v>
      </c>
      <c r="B43" s="961"/>
      <c r="C43" s="26"/>
      <c r="D43" s="670"/>
      <c r="E43" s="692"/>
      <c r="F43" s="673"/>
      <c r="G43" s="673"/>
      <c r="H43" s="673"/>
      <c r="I43" s="688"/>
      <c r="J43" s="689"/>
      <c r="K43" s="700"/>
      <c r="L43" s="689"/>
      <c r="M43" s="936"/>
      <c r="N43" s="138"/>
    </row>
    <row r="44" spans="1:18" x14ac:dyDescent="0.2">
      <c r="A44" s="573" t="s">
        <v>12</v>
      </c>
      <c r="B44" s="11" t="s">
        <v>292</v>
      </c>
      <c r="C44" s="30">
        <v>2</v>
      </c>
      <c r="D44" s="675"/>
      <c r="E44" s="693"/>
      <c r="F44" s="672"/>
      <c r="G44" s="672"/>
      <c r="H44" s="694"/>
      <c r="I44" s="688"/>
      <c r="J44" s="689"/>
      <c r="K44" s="700"/>
      <c r="L44" s="689"/>
      <c r="M44" s="937"/>
      <c r="N44" s="138"/>
    </row>
    <row r="45" spans="1:18" ht="22.5" x14ac:dyDescent="0.2">
      <c r="A45" s="577" t="s">
        <v>23</v>
      </c>
      <c r="B45" s="34" t="s">
        <v>24</v>
      </c>
      <c r="C45" s="35">
        <v>2</v>
      </c>
      <c r="D45" s="675"/>
      <c r="E45" s="693"/>
      <c r="F45" s="694"/>
      <c r="G45" s="694"/>
      <c r="H45" s="694"/>
      <c r="I45" s="688"/>
      <c r="J45" s="689"/>
      <c r="K45" s="700"/>
      <c r="L45" s="689"/>
      <c r="M45" s="689"/>
      <c r="N45" s="138"/>
    </row>
    <row r="46" spans="1:18" ht="22.5" x14ac:dyDescent="0.2">
      <c r="A46" s="575" t="s">
        <v>86</v>
      </c>
      <c r="B46" s="24" t="s">
        <v>25</v>
      </c>
      <c r="C46" s="31">
        <v>2</v>
      </c>
      <c r="D46" s="675"/>
      <c r="E46" s="693"/>
      <c r="F46" s="694"/>
      <c r="G46" s="694"/>
      <c r="H46" s="694"/>
      <c r="I46" s="688"/>
      <c r="J46" s="689"/>
      <c r="K46" s="700"/>
      <c r="L46" s="689"/>
      <c r="M46" s="689"/>
      <c r="N46" s="138"/>
    </row>
    <row r="47" spans="1:18" x14ac:dyDescent="0.2">
      <c r="A47" s="575" t="s">
        <v>29</v>
      </c>
      <c r="B47" s="24" t="s">
        <v>30</v>
      </c>
      <c r="C47" s="31">
        <v>2</v>
      </c>
      <c r="D47" s="675"/>
      <c r="E47" s="693"/>
      <c r="F47" s="694"/>
      <c r="G47" s="694"/>
      <c r="H47" s="694"/>
      <c r="I47" s="688"/>
      <c r="J47" s="689"/>
      <c r="K47" s="700"/>
      <c r="L47" s="689"/>
      <c r="M47" s="689"/>
      <c r="N47" s="138"/>
      <c r="R47" s="1441"/>
    </row>
    <row r="48" spans="1:18" x14ac:dyDescent="0.2">
      <c r="A48" s="577" t="s">
        <v>26</v>
      </c>
      <c r="B48" s="34" t="s">
        <v>27</v>
      </c>
      <c r="C48" s="35">
        <v>1</v>
      </c>
      <c r="D48" s="675"/>
      <c r="E48" s="693"/>
      <c r="F48" s="694"/>
      <c r="G48" s="694"/>
      <c r="H48" s="694"/>
      <c r="I48" s="688"/>
      <c r="J48" s="689"/>
      <c r="K48" s="700"/>
      <c r="L48" s="689"/>
      <c r="M48" s="689"/>
      <c r="N48" s="138"/>
    </row>
    <row r="49" spans="1:14" ht="18.75" x14ac:dyDescent="0.2">
      <c r="A49" s="575" t="s">
        <v>28</v>
      </c>
      <c r="B49" s="24" t="s">
        <v>27</v>
      </c>
      <c r="C49" s="31">
        <v>1</v>
      </c>
      <c r="D49" s="675"/>
      <c r="E49" s="693"/>
      <c r="F49" s="694"/>
      <c r="G49" s="694"/>
      <c r="H49" s="694"/>
      <c r="I49" s="688"/>
      <c r="J49" s="689"/>
      <c r="K49" s="700"/>
      <c r="L49" s="689"/>
      <c r="M49" s="815">
        <f>M32+12.5</f>
        <v>28.5</v>
      </c>
      <c r="N49" s="138"/>
    </row>
    <row r="50" spans="1:14" ht="13.5" thickBot="1" x14ac:dyDescent="0.25">
      <c r="A50" s="575" t="s">
        <v>17</v>
      </c>
      <c r="B50" s="24" t="s">
        <v>18</v>
      </c>
      <c r="C50" s="31">
        <v>1</v>
      </c>
      <c r="D50" s="675"/>
      <c r="E50" s="695"/>
      <c r="F50" s="696"/>
      <c r="G50" s="696"/>
      <c r="H50" s="696"/>
      <c r="I50" s="697"/>
      <c r="J50" s="698"/>
      <c r="K50" s="701"/>
      <c r="L50" s="698"/>
      <c r="M50" s="698"/>
      <c r="N50" s="818"/>
    </row>
    <row r="51" spans="1:14" x14ac:dyDescent="0.2">
      <c r="A51" s="575" t="s">
        <v>19</v>
      </c>
      <c r="B51" s="24" t="s">
        <v>20</v>
      </c>
      <c r="C51" s="31">
        <v>1</v>
      </c>
      <c r="D51" s="574"/>
      <c r="E51" s="33"/>
      <c r="F51" s="33"/>
      <c r="G51" s="33"/>
      <c r="H51" s="33"/>
    </row>
    <row r="52" spans="1:14" ht="13.5" thickBot="1" x14ac:dyDescent="0.25">
      <c r="A52" s="575" t="s">
        <v>21</v>
      </c>
      <c r="B52" s="24" t="s">
        <v>22</v>
      </c>
      <c r="C52" s="31">
        <v>2</v>
      </c>
      <c r="D52" s="578"/>
      <c r="E52" s="33"/>
      <c r="F52" s="33"/>
      <c r="G52" s="33"/>
      <c r="H52" s="33"/>
    </row>
    <row r="53" spans="1:14" ht="20.25" customHeight="1" thickBot="1" x14ac:dyDescent="0.25">
      <c r="A53" s="965" t="s">
        <v>83</v>
      </c>
      <c r="B53" s="965"/>
      <c r="C53" s="965"/>
      <c r="D53" s="490"/>
      <c r="E53" s="934" t="s">
        <v>661</v>
      </c>
      <c r="F53" s="935"/>
      <c r="G53" s="935"/>
      <c r="H53" s="935"/>
      <c r="I53" s="935"/>
      <c r="J53" s="935"/>
      <c r="K53" s="935"/>
      <c r="L53" s="935"/>
      <c r="M53" s="935"/>
      <c r="N53" s="917"/>
    </row>
    <row r="54" spans="1:14" ht="21" customHeight="1" thickBot="1" x14ac:dyDescent="0.25">
      <c r="A54" s="965"/>
      <c r="B54" s="965"/>
      <c r="C54" s="965"/>
      <c r="D54" s="490"/>
      <c r="E54" s="820"/>
      <c r="F54" s="821"/>
      <c r="G54" s="821"/>
      <c r="H54" s="821"/>
      <c r="I54" s="822"/>
      <c r="J54" s="823"/>
      <c r="K54" s="944" t="s">
        <v>662</v>
      </c>
      <c r="L54" s="945"/>
      <c r="M54" s="831">
        <v>500</v>
      </c>
      <c r="N54" s="830" t="s">
        <v>68</v>
      </c>
    </row>
    <row r="55" spans="1:14" ht="18.75" thickBot="1" x14ac:dyDescent="0.25">
      <c r="A55" s="965"/>
      <c r="B55" s="965"/>
      <c r="C55" s="965"/>
      <c r="D55" s="490"/>
      <c r="E55" s="826"/>
      <c r="F55" s="19"/>
      <c r="G55" s="19"/>
      <c r="H55" s="19"/>
      <c r="K55" s="932" t="s">
        <v>663</v>
      </c>
      <c r="L55" s="933"/>
      <c r="M55" s="832">
        <f>E57</f>
        <v>258</v>
      </c>
      <c r="N55" s="828" t="s">
        <v>68</v>
      </c>
    </row>
    <row r="56" spans="1:14" ht="27" thickBot="1" x14ac:dyDescent="0.25">
      <c r="A56" s="966" t="s">
        <v>41</v>
      </c>
      <c r="B56" s="967"/>
      <c r="C56" s="967"/>
      <c r="D56" s="491"/>
      <c r="E56" s="827" t="s">
        <v>68</v>
      </c>
      <c r="F56" s="819"/>
      <c r="G56" s="819"/>
      <c r="H56" s="819"/>
      <c r="K56" s="944" t="s">
        <v>659</v>
      </c>
      <c r="L56" s="945"/>
      <c r="M56" s="834">
        <f>M54*0.24+34</f>
        <v>154</v>
      </c>
      <c r="N56" s="830" t="s">
        <v>68</v>
      </c>
    </row>
    <row r="57" spans="1:14" ht="52.5" thickBot="1" x14ac:dyDescent="0.35">
      <c r="A57" s="955" t="s">
        <v>87</v>
      </c>
      <c r="B57" s="955"/>
      <c r="C57" s="955"/>
      <c r="D57" s="567"/>
      <c r="E57" s="827">
        <f>M54*0.44+38</f>
        <v>258</v>
      </c>
      <c r="F57" s="19"/>
      <c r="G57" s="19"/>
      <c r="H57" s="19"/>
      <c r="K57" s="913" t="s">
        <v>660</v>
      </c>
      <c r="L57" s="914"/>
      <c r="M57" s="833">
        <v>0</v>
      </c>
      <c r="N57" s="829" t="s">
        <v>68</v>
      </c>
    </row>
    <row r="58" spans="1:14" x14ac:dyDescent="0.2">
      <c r="A58" s="36" t="s">
        <v>338</v>
      </c>
      <c r="B58" s="37" t="s">
        <v>38</v>
      </c>
      <c r="C58" s="38">
        <v>2</v>
      </c>
      <c r="D58" s="514"/>
      <c r="E58" s="146"/>
      <c r="F58" s="19"/>
      <c r="G58" s="19"/>
      <c r="H58" s="19"/>
      <c r="N58" s="138"/>
    </row>
    <row r="59" spans="1:14" x14ac:dyDescent="0.2">
      <c r="A59" s="36" t="s">
        <v>37</v>
      </c>
      <c r="B59" s="39" t="s">
        <v>39</v>
      </c>
      <c r="C59" s="38">
        <v>2</v>
      </c>
      <c r="D59" s="514"/>
      <c r="E59" s="146"/>
      <c r="F59" s="19"/>
      <c r="G59" s="19"/>
      <c r="H59" s="19"/>
      <c r="N59" s="138"/>
    </row>
    <row r="60" spans="1:14" x14ac:dyDescent="0.2">
      <c r="A60" s="36" t="s">
        <v>12</v>
      </c>
      <c r="B60" s="39" t="s">
        <v>292</v>
      </c>
      <c r="C60" s="38">
        <v>4</v>
      </c>
      <c r="D60" s="514"/>
      <c r="E60" s="146"/>
      <c r="F60" s="672"/>
      <c r="G60" s="672"/>
      <c r="H60" s="19"/>
      <c r="N60" s="138"/>
    </row>
    <row r="61" spans="1:14" ht="22.5" x14ac:dyDescent="0.2">
      <c r="A61" s="36" t="s">
        <v>13</v>
      </c>
      <c r="B61" s="39" t="s">
        <v>14</v>
      </c>
      <c r="C61" s="38">
        <v>2</v>
      </c>
      <c r="D61" s="514"/>
      <c r="E61" s="146"/>
      <c r="F61" s="19"/>
      <c r="G61" s="19"/>
      <c r="H61" s="19"/>
      <c r="N61" s="138"/>
    </row>
    <row r="62" spans="1:14" ht="22.5" x14ac:dyDescent="0.2">
      <c r="A62" s="36" t="s">
        <v>86</v>
      </c>
      <c r="B62" s="38" t="s">
        <v>25</v>
      </c>
      <c r="C62" s="38">
        <v>2</v>
      </c>
      <c r="D62" s="514"/>
      <c r="E62" s="146"/>
      <c r="F62" s="19"/>
      <c r="G62" s="19"/>
      <c r="H62" s="19"/>
      <c r="N62" s="138"/>
    </row>
    <row r="63" spans="1:14" x14ac:dyDescent="0.2">
      <c r="A63" s="36" t="s">
        <v>26</v>
      </c>
      <c r="B63" s="38" t="s">
        <v>27</v>
      </c>
      <c r="C63" s="38">
        <v>1</v>
      </c>
      <c r="D63" s="514"/>
      <c r="E63" s="146"/>
      <c r="F63" s="19"/>
      <c r="G63" s="19"/>
      <c r="H63" s="19"/>
      <c r="N63" s="138"/>
    </row>
    <row r="64" spans="1:14" x14ac:dyDescent="0.2">
      <c r="A64" s="36" t="s">
        <v>28</v>
      </c>
      <c r="B64" s="38" t="s">
        <v>27</v>
      </c>
      <c r="C64" s="38">
        <v>1</v>
      </c>
      <c r="D64" s="514"/>
      <c r="E64" s="146"/>
      <c r="F64" s="19"/>
      <c r="G64" s="19"/>
      <c r="H64" s="19"/>
      <c r="N64" s="138"/>
    </row>
    <row r="65" spans="1:14" x14ac:dyDescent="0.2">
      <c r="A65" s="36" t="s">
        <v>17</v>
      </c>
      <c r="B65" s="38" t="s">
        <v>18</v>
      </c>
      <c r="C65" s="38">
        <v>1</v>
      </c>
      <c r="D65" s="514"/>
      <c r="E65" s="146"/>
      <c r="F65" s="19"/>
      <c r="G65" s="19"/>
      <c r="H65" s="19"/>
      <c r="N65" s="138"/>
    </row>
    <row r="66" spans="1:14" x14ac:dyDescent="0.2">
      <c r="A66" s="36" t="s">
        <v>19</v>
      </c>
      <c r="B66" s="38" t="s">
        <v>20</v>
      </c>
      <c r="C66" s="38">
        <v>1</v>
      </c>
      <c r="D66" s="514"/>
      <c r="E66" s="146"/>
      <c r="F66" s="19"/>
      <c r="G66" s="19"/>
      <c r="H66" s="19"/>
      <c r="N66" s="138"/>
    </row>
    <row r="67" spans="1:14" x14ac:dyDescent="0.2">
      <c r="A67" s="36" t="s">
        <v>21</v>
      </c>
      <c r="B67" s="38" t="s">
        <v>22</v>
      </c>
      <c r="C67" s="38">
        <v>2</v>
      </c>
      <c r="D67" s="514"/>
      <c r="E67" s="146"/>
      <c r="F67" s="19"/>
      <c r="G67" s="19"/>
      <c r="H67" s="19"/>
      <c r="N67" s="138"/>
    </row>
    <row r="68" spans="1:14" ht="20.25" x14ac:dyDescent="0.3">
      <c r="A68" s="955" t="s">
        <v>88</v>
      </c>
      <c r="B68" s="955"/>
      <c r="C68" s="955"/>
      <c r="D68" s="567"/>
      <c r="E68" s="146"/>
      <c r="F68" s="19"/>
      <c r="G68" s="19"/>
      <c r="H68" s="19"/>
      <c r="N68" s="138"/>
    </row>
    <row r="69" spans="1:14" ht="13.5" thickBot="1" x14ac:dyDescent="0.25">
      <c r="A69" s="36" t="s">
        <v>339</v>
      </c>
      <c r="B69" s="37" t="s">
        <v>38</v>
      </c>
      <c r="C69" s="38">
        <v>2</v>
      </c>
      <c r="D69" s="514"/>
      <c r="E69" s="60"/>
      <c r="F69" s="824"/>
      <c r="G69" s="824"/>
      <c r="H69" s="824"/>
      <c r="I69" s="825"/>
      <c r="J69" s="71"/>
      <c r="K69" s="71"/>
      <c r="L69" s="71"/>
      <c r="M69" s="71"/>
      <c r="N69" s="818"/>
    </row>
    <row r="70" spans="1:14" x14ac:dyDescent="0.2">
      <c r="A70" s="36" t="s">
        <v>37</v>
      </c>
      <c r="B70" s="39" t="s">
        <v>39</v>
      </c>
      <c r="C70" s="38">
        <v>2</v>
      </c>
      <c r="D70" s="514"/>
      <c r="E70" s="19"/>
      <c r="F70" s="19"/>
      <c r="G70" s="19"/>
      <c r="H70" s="19"/>
    </row>
    <row r="71" spans="1:14" x14ac:dyDescent="0.2">
      <c r="A71" s="36" t="s">
        <v>12</v>
      </c>
      <c r="B71" s="39" t="s">
        <v>292</v>
      </c>
      <c r="C71" s="38">
        <v>4</v>
      </c>
      <c r="D71" s="514"/>
      <c r="E71" s="19"/>
      <c r="F71" s="672"/>
      <c r="G71" s="672"/>
      <c r="H71" s="19"/>
    </row>
    <row r="72" spans="1:14" x14ac:dyDescent="0.2">
      <c r="A72" s="36" t="s">
        <v>15</v>
      </c>
      <c r="B72" s="39" t="s">
        <v>16</v>
      </c>
      <c r="C72" s="38">
        <v>2</v>
      </c>
      <c r="D72" s="514"/>
      <c r="E72" s="19"/>
      <c r="F72" s="19"/>
      <c r="G72" s="19"/>
      <c r="H72" s="19"/>
    </row>
    <row r="73" spans="1:14" ht="22.5" x14ac:dyDescent="0.2">
      <c r="A73" s="36" t="s">
        <v>23</v>
      </c>
      <c r="B73" s="38" t="s">
        <v>24</v>
      </c>
      <c r="C73" s="38">
        <v>2</v>
      </c>
      <c r="D73" s="514"/>
      <c r="E73" s="19"/>
      <c r="F73" s="19"/>
      <c r="G73" s="19"/>
      <c r="H73" s="19"/>
    </row>
    <row r="74" spans="1:14" x14ac:dyDescent="0.2">
      <c r="A74" s="36" t="s">
        <v>29</v>
      </c>
      <c r="B74" s="38" t="s">
        <v>30</v>
      </c>
      <c r="C74" s="38">
        <v>2</v>
      </c>
      <c r="D74" s="514"/>
      <c r="E74" s="19"/>
      <c r="F74" s="19"/>
      <c r="G74" s="19"/>
      <c r="H74" s="19"/>
    </row>
    <row r="75" spans="1:14" x14ac:dyDescent="0.2">
      <c r="A75" s="36" t="s">
        <v>17</v>
      </c>
      <c r="B75" s="38" t="s">
        <v>18</v>
      </c>
      <c r="C75" s="38">
        <v>1</v>
      </c>
      <c r="D75" s="514"/>
      <c r="E75" s="19"/>
      <c r="F75" s="19"/>
      <c r="G75" s="19"/>
      <c r="H75" s="19"/>
    </row>
    <row r="76" spans="1:14" x14ac:dyDescent="0.2">
      <c r="A76" s="36" t="s">
        <v>19</v>
      </c>
      <c r="B76" s="38" t="s">
        <v>20</v>
      </c>
      <c r="C76" s="38">
        <v>1</v>
      </c>
      <c r="D76" s="514"/>
      <c r="E76" s="19"/>
      <c r="F76" s="19"/>
      <c r="G76" s="19"/>
      <c r="H76" s="19"/>
    </row>
    <row r="77" spans="1:14" x14ac:dyDescent="0.2">
      <c r="A77" s="36" t="s">
        <v>21</v>
      </c>
      <c r="B77" s="38" t="s">
        <v>22</v>
      </c>
      <c r="C77" s="38">
        <v>2</v>
      </c>
      <c r="D77" s="514"/>
      <c r="E77" s="19"/>
      <c r="F77" s="19"/>
      <c r="G77" s="19"/>
      <c r="H77" s="19"/>
    </row>
  </sheetData>
  <sheetProtection password="CF68" sheet="1" formatCells="0" formatColumns="0" formatRows="0" insertColumns="0" insertRows="0" insertHyperlinks="0" deleteColumns="0" deleteRows="0" sort="0" autoFilter="0" pivotTables="0"/>
  <protectedRanges>
    <protectedRange sqref="E17:G26" name="Диапазон1"/>
  </protectedRanges>
  <mergeCells count="51">
    <mergeCell ref="C9:D9"/>
    <mergeCell ref="A68:C68"/>
    <mergeCell ref="A26:C26"/>
    <mergeCell ref="A36:B36"/>
    <mergeCell ref="A43:B43"/>
    <mergeCell ref="A23:D23"/>
    <mergeCell ref="A24:D24"/>
    <mergeCell ref="A25:D25"/>
    <mergeCell ref="A53:C55"/>
    <mergeCell ref="A56:C56"/>
    <mergeCell ref="A57:C57"/>
    <mergeCell ref="A27:D27"/>
    <mergeCell ref="K54:L54"/>
    <mergeCell ref="K56:L56"/>
    <mergeCell ref="F29:H29"/>
    <mergeCell ref="A19:D19"/>
    <mergeCell ref="A20:D20"/>
    <mergeCell ref="A21:D21"/>
    <mergeCell ref="A22:D22"/>
    <mergeCell ref="K57:L57"/>
    <mergeCell ref="L27:N27"/>
    <mergeCell ref="C11:D11"/>
    <mergeCell ref="C12:D12"/>
    <mergeCell ref="C13:D13"/>
    <mergeCell ref="A17:C17"/>
    <mergeCell ref="A18:C18"/>
    <mergeCell ref="A15:L15"/>
    <mergeCell ref="A16:C16"/>
    <mergeCell ref="C14:D14"/>
    <mergeCell ref="K55:L55"/>
    <mergeCell ref="E53:N53"/>
    <mergeCell ref="M42:M44"/>
    <mergeCell ref="E33:E36"/>
    <mergeCell ref="F30:H30"/>
    <mergeCell ref="F28:L28"/>
    <mergeCell ref="A1:L1"/>
    <mergeCell ref="A3:A4"/>
    <mergeCell ref="B3:B4"/>
    <mergeCell ref="E3:F3"/>
    <mergeCell ref="G3:I14"/>
    <mergeCell ref="A5:A6"/>
    <mergeCell ref="B5:B6"/>
    <mergeCell ref="A8:A9"/>
    <mergeCell ref="B8:B9"/>
    <mergeCell ref="E10:F10"/>
    <mergeCell ref="C3:D4"/>
    <mergeCell ref="C5:D5"/>
    <mergeCell ref="C10:D10"/>
    <mergeCell ref="C6:D6"/>
    <mergeCell ref="C7:D7"/>
    <mergeCell ref="C8:D8"/>
  </mergeCells>
  <conditionalFormatting sqref="K17:K26">
    <cfRule type="containsText" dxfId="131" priority="2" stopIfTrue="1" operator="containsText" text="очень">
      <formula>NOT(ISERROR(SEARCH("очень",K17)))</formula>
    </cfRule>
  </conditionalFormatting>
  <conditionalFormatting sqref="L17:L26">
    <cfRule type="containsText" dxfId="130" priority="1" stopIfTrue="1" operator="containsText" text="Недопустимо">
      <formula>NOT(ISERROR(SEARCH("Недопустимо",L17)))</formula>
    </cfRule>
  </conditionalFormatting>
  <hyperlinks>
    <hyperlink ref="M1" location="Содержание!R1C1" display="← СОДЕРЖАНИЕ:" xr:uid="{49A5FE01-DFBD-472B-A007-54B929792C79}"/>
  </hyperlinks>
  <pageMargins left="0.75" right="0.75" top="1" bottom="1" header="0.5" footer="0.5"/>
  <pageSetup paperSize="9" orientation="portrait" r:id="rId1"/>
  <headerFooter alignWithMargins="0"/>
  <ignoredErrors>
    <ignoredError sqref="I18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pageSetUpPr fitToPage="1"/>
  </sheetPr>
  <dimension ref="A1:AZ98"/>
  <sheetViews>
    <sheetView showGridLines="0" showRowColHeaders="0" zoomScale="88" zoomScaleNormal="88" zoomScalePageLayoutView="55" workbookViewId="0">
      <selection activeCell="AM1" sqref="AM1"/>
    </sheetView>
  </sheetViews>
  <sheetFormatPr defaultRowHeight="15" x14ac:dyDescent="0.25"/>
  <cols>
    <col min="1" max="1" width="3" style="245" customWidth="1"/>
    <col min="2" max="2" width="43.28515625" style="245" customWidth="1"/>
    <col min="3" max="3" width="14.28515625" style="245" customWidth="1"/>
    <col min="4" max="4" width="11.7109375" style="245" customWidth="1"/>
    <col min="5" max="5" width="9.42578125" style="245" customWidth="1"/>
    <col min="6" max="6" width="2" style="245" customWidth="1"/>
    <col min="7" max="7" width="2.28515625" style="245" customWidth="1"/>
    <col min="8" max="8" width="26.42578125" style="245" customWidth="1"/>
    <col min="9" max="10" width="2.42578125" style="245" customWidth="1"/>
    <col min="11" max="12" width="5.28515625" style="245" customWidth="1"/>
    <col min="13" max="13" width="2" style="245" customWidth="1"/>
    <col min="14" max="14" width="2.28515625" style="245" customWidth="1"/>
    <col min="15" max="15" width="2" style="245" customWidth="1"/>
    <col min="16" max="16" width="2.85546875" style="245" customWidth="1"/>
    <col min="17" max="17" width="2.7109375" style="245" customWidth="1"/>
    <col min="18" max="18" width="2.85546875" style="245" customWidth="1"/>
    <col min="19" max="19" width="2.28515625" style="245" customWidth="1"/>
    <col min="20" max="20" width="2.7109375" style="245" customWidth="1"/>
    <col min="21" max="21" width="2.140625" style="245" customWidth="1"/>
    <col min="22" max="22" width="2.7109375" style="245" customWidth="1"/>
    <col min="23" max="23" width="1.7109375" style="245" customWidth="1"/>
    <col min="24" max="24" width="2.42578125" style="245" customWidth="1"/>
    <col min="25" max="25" width="2" style="245" customWidth="1"/>
    <col min="26" max="26" width="1.7109375" style="245" customWidth="1"/>
    <col min="27" max="27" width="2.42578125" style="245" customWidth="1"/>
    <col min="28" max="28" width="2.7109375" style="245" customWidth="1"/>
    <col min="29" max="29" width="2.42578125" style="245" customWidth="1"/>
    <col min="30" max="30" width="2.5703125" style="245" customWidth="1"/>
    <col min="31" max="31" width="4.140625" style="245" customWidth="1"/>
    <col min="32" max="32" width="2.140625" style="245" customWidth="1"/>
    <col min="33" max="33" width="2" style="245" customWidth="1"/>
    <col min="34" max="34" width="2.5703125" style="245" customWidth="1"/>
    <col min="35" max="35" width="2.28515625" style="245" customWidth="1"/>
    <col min="36" max="36" width="2" style="245" customWidth="1"/>
    <col min="37" max="37" width="2.85546875" style="245" customWidth="1"/>
    <col min="38" max="38" width="6.85546875" style="245" customWidth="1"/>
    <col min="39" max="39" width="20.85546875" style="245" customWidth="1"/>
    <col min="40" max="41" width="9.140625" style="245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4" width="9.140625" style="245" customWidth="1"/>
    <col min="55" max="16384" width="9.140625" style="245"/>
  </cols>
  <sheetData>
    <row r="1" spans="1:52" ht="45.75" customHeight="1" thickBot="1" x14ac:dyDescent="0.3">
      <c r="A1" s="1340"/>
      <c r="B1" s="1341"/>
      <c r="C1" s="1341"/>
      <c r="D1" s="1341"/>
      <c r="E1" s="1341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W1" s="1342"/>
      <c r="X1" s="1342"/>
      <c r="Y1" s="1342"/>
      <c r="Z1" s="1342"/>
      <c r="AA1" s="1342"/>
      <c r="AB1" s="1342"/>
      <c r="AC1" s="1342"/>
      <c r="AD1" s="1342"/>
      <c r="AE1" s="1342"/>
      <c r="AF1" s="1342"/>
      <c r="AG1" s="1342"/>
      <c r="AH1" s="1342"/>
      <c r="AI1" s="1342"/>
      <c r="AJ1" s="1342"/>
      <c r="AK1" s="1342"/>
      <c r="AL1" s="378"/>
      <c r="AM1" s="436" t="s">
        <v>544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</row>
    <row r="2" spans="1:52" ht="15" customHeight="1" x14ac:dyDescent="0.25">
      <c r="A2" s="387"/>
      <c r="B2" s="301"/>
      <c r="C2" s="301"/>
      <c r="D2" s="388" t="s">
        <v>496</v>
      </c>
      <c r="E2" s="388"/>
      <c r="F2" s="388"/>
      <c r="G2" s="388"/>
      <c r="H2" s="388"/>
      <c r="I2" s="388"/>
      <c r="J2" s="388"/>
      <c r="AL2" s="316"/>
      <c r="AN2" s="361"/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 t="e">
        <f>IF(#REF!&lt;0,0,IF(#REF!&lt;2.51,1,IF(#REF!&lt;5.01,2,IF(#REF!&lt;7.51,3,IF(#REF!&lt;10.01,4,IF(#REF!&lt;12.51,5,IF(#REF!&lt;15.01,6,IF(#REF!&lt;17.51,7,IF(#REF!&lt;20.01,8,IF(#REF!&lt;22.51,9,IF(#REF!&lt;25.01,10,IF(#REF!&lt;27.51,11,IF(#REF!&lt;30.01,12,IF(#REF!&lt;32.51,13,IF(#REF!&lt;35.01,14,IF(#REF!&lt;37.51,15,IF(#REF!&lt;40.01,16,IF(#REF!&lt;42.51,17,IF(#REF!&lt;45.01,18,IF(#REF!&lt;47.51,19,IF(#REF!&lt;50.01,20,IF(#REF!&lt;52.51,21,IF(#REF!&lt;55.01,22,IF(#REF!&lt;57.51,23,IF(#REF!&lt;60,24,25)))))))))))))))))))))))))</f>
        <v>#REF!</v>
      </c>
    </row>
    <row r="3" spans="1:52" ht="15" customHeight="1" x14ac:dyDescent="0.25">
      <c r="A3" s="387"/>
      <c r="B3" s="301"/>
      <c r="C3" s="301"/>
      <c r="D3" s="1394" t="s">
        <v>495</v>
      </c>
      <c r="E3" s="1395"/>
      <c r="F3" s="1395"/>
      <c r="G3" s="1395"/>
      <c r="H3" s="1395"/>
      <c r="I3" s="1395"/>
      <c r="J3" s="1395"/>
      <c r="AL3" s="316"/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520</v>
      </c>
      <c r="AV3" s="306" t="e">
        <f>(#REF!-10)*#REF!/1000000</f>
        <v>#REF!</v>
      </c>
      <c r="AW3" s="306" t="e">
        <f>IF(#REF!=AQ2,AR2,IF(#REF!=AQ3,AR3,IF(#REF!=AQ4,AR4,IF(#REF!=AQ5,AR5,IF(#REF!=AQ6,AR6,IF(#REF!=AQ7,AR7,0))))))</f>
        <v>#REF!</v>
      </c>
      <c r="AX3" s="306" t="e">
        <f>IF(#REF!=AS2,10,IF(#REF!=AS3,16,IF(#REF!=AS4,18,IF(#REF!=AS5,19,IF(#REF!=AS6,4,0)))))</f>
        <v>#REF!</v>
      </c>
      <c r="AY3" s="306" t="e">
        <f t="shared" ref="AY3:AY8" si="0">AV3*AW3*AX3/1000</f>
        <v>#REF!</v>
      </c>
    </row>
    <row r="4" spans="1:52" ht="15" customHeight="1" x14ac:dyDescent="0.25">
      <c r="A4" s="387"/>
      <c r="B4" s="301"/>
      <c r="C4" s="301"/>
      <c r="D4" s="1395"/>
      <c r="E4" s="1395"/>
      <c r="F4" s="1395"/>
      <c r="G4" s="1395"/>
      <c r="H4" s="1395"/>
      <c r="I4" s="1395"/>
      <c r="J4" s="1395"/>
      <c r="AL4" s="316"/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519</v>
      </c>
      <c r="AV4" s="306" t="e">
        <f>(#REF!-10)*#REF!/1000000</f>
        <v>#REF!</v>
      </c>
      <c r="AW4" s="306" t="e">
        <f>IF(#REF!=AQ2,AR2,IF(#REF!=AQ3,AR3,IF(#REF!=AQ4,AR4,IF(#REF!=AQ5,AR5,IF(#REF!=AQ6,AR6,IF(#REF!=AQ7,AR7,0))))))</f>
        <v>#REF!</v>
      </c>
      <c r="AX4" s="306" t="e">
        <f>IF(#REF!=AS2,10,IF(#REF!=AS3,16,IF(#REF!=AS4,18,IF(#REF!=AS5,19,IF(#REF!=AS6,4,0)))))</f>
        <v>#REF!</v>
      </c>
      <c r="AY4" s="306" t="e">
        <f t="shared" si="0"/>
        <v>#REF!</v>
      </c>
    </row>
    <row r="5" spans="1:52" ht="15" customHeight="1" x14ac:dyDescent="0.25">
      <c r="A5" s="387"/>
      <c r="B5" s="301"/>
      <c r="C5" s="301"/>
      <c r="D5" s="1396" t="s">
        <v>494</v>
      </c>
      <c r="E5" s="1397"/>
      <c r="F5" s="1397"/>
      <c r="G5" s="1397"/>
      <c r="H5" s="1397"/>
      <c r="I5" s="1397"/>
      <c r="J5" s="1397"/>
      <c r="AL5" s="316"/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518</v>
      </c>
      <c r="AV5" s="306" t="e">
        <f>(#REF!-42)*#REF!/1000000</f>
        <v>#REF!</v>
      </c>
      <c r="AW5" s="306" t="e">
        <f>IF(#REF!=AQ2,AR2,IF(#REF!=AQ3,AR3,IF(#REF!=AQ4,AR4,IF(#REF!=AQ5,AR5,IF(#REF!=AQ6,AR6,IF(#REF!=AQ7,AR7,0))))))</f>
        <v>#REF!</v>
      </c>
      <c r="AX5" s="306" t="e">
        <f>IF(#REF!=AS2,10,IF(#REF!=AS3,16,IF(#REF!=AS4,18,IF(#REF!=AS5,19,IF(#REF!=AS6,4,0)))))</f>
        <v>#REF!</v>
      </c>
      <c r="AY5" s="306" t="e">
        <f t="shared" si="0"/>
        <v>#REF!</v>
      </c>
    </row>
    <row r="6" spans="1:52" ht="15" customHeight="1" x14ac:dyDescent="0.25">
      <c r="A6" s="387"/>
      <c r="B6" s="301"/>
      <c r="C6" s="301"/>
      <c r="D6" s="1397"/>
      <c r="E6" s="1397"/>
      <c r="F6" s="1397"/>
      <c r="G6" s="1397"/>
      <c r="H6" s="1397"/>
      <c r="I6" s="1397"/>
      <c r="J6" s="1397"/>
      <c r="AL6" s="316"/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517</v>
      </c>
      <c r="AV6" s="306" t="e">
        <f>IF(#REF!=AT2,(#REF!-42)*#REF!/1000000,0)</f>
        <v>#REF!</v>
      </c>
      <c r="AW6" s="306" t="e">
        <f>IF(#REF!=AQ2,AR2,IF(#REF!=AQ3,AR3,IF(#REF!=AQ4,AR4,IF(#REF!=AQ5,AR5,IF(#REF!=AQ6,AR6,IF(#REF!=AQ7,AR7,0))))))</f>
        <v>#REF!</v>
      </c>
      <c r="AX6" s="306" t="e">
        <f>IF(#REF!=AS2,10,IF(#REF!=AS3,16,IF(#REF!=AS4,18,IF(#REF!=AS5,19,IF(#REF!=AS6,4,0)))))</f>
        <v>#REF!</v>
      </c>
      <c r="AY6" s="306" t="e">
        <f t="shared" si="0"/>
        <v>#REF!</v>
      </c>
    </row>
    <row r="7" spans="1:52" ht="15" customHeight="1" x14ac:dyDescent="0.25">
      <c r="A7" s="387"/>
      <c r="B7" s="301"/>
      <c r="C7" s="301"/>
      <c r="D7" s="1394" t="s">
        <v>493</v>
      </c>
      <c r="E7" s="1395"/>
      <c r="F7" s="1395"/>
      <c r="G7" s="1395"/>
      <c r="H7" s="1395"/>
      <c r="I7" s="1395"/>
      <c r="J7" s="1395"/>
      <c r="AL7" s="316"/>
      <c r="AP7" s="299">
        <v>500</v>
      </c>
      <c r="AQ7" s="299" t="s">
        <v>449</v>
      </c>
      <c r="AR7" s="299">
        <v>900</v>
      </c>
      <c r="AS7" s="306"/>
      <c r="AU7" s="306" t="s">
        <v>516</v>
      </c>
      <c r="AV7" s="306" t="e">
        <f>IF(#REF!=AT2,(#REF!-42)*(#REF!-10-(AX5*2))/1000000,(#REF!-42)*(#REF!-10-AX5)/1000000)</f>
        <v>#REF!</v>
      </c>
      <c r="AW7" s="306" t="e">
        <f>IF(#REF!=AQ2,AR2,IF(#REF!=AQ3,AR3,IF(#REF!=AQ4,AR4,IF(#REF!=AQ5,AR5,IF(#REF!=AQ6,AR6,IF(#REF!=AQ7,AR7,0))))))</f>
        <v>#REF!</v>
      </c>
      <c r="AX7" s="306" t="e">
        <f>IF(#REF!=AS2,10,IF(#REF!=AS3,16,IF(#REF!=AS4,18,IF(#REF!=AS5,19,IF(#REF!=AS6,4,0)))))</f>
        <v>#REF!</v>
      </c>
      <c r="AY7" s="306" t="e">
        <f t="shared" si="0"/>
        <v>#REF!</v>
      </c>
    </row>
    <row r="8" spans="1:52" ht="15" customHeight="1" x14ac:dyDescent="0.25">
      <c r="A8" s="387"/>
      <c r="B8" s="301"/>
      <c r="C8" s="301"/>
      <c r="D8" s="1395"/>
      <c r="E8" s="1395"/>
      <c r="F8" s="1395"/>
      <c r="G8" s="1395"/>
      <c r="H8" s="1395"/>
      <c r="I8" s="1395"/>
      <c r="J8" s="1395"/>
      <c r="AL8" s="316"/>
      <c r="AP8" s="299">
        <v>550</v>
      </c>
      <c r="AQ8" s="247"/>
      <c r="AR8" s="247"/>
      <c r="AU8" s="306" t="s">
        <v>515</v>
      </c>
      <c r="AV8" s="306" t="e">
        <f>#REF!*#REF!/1000000</f>
        <v>#REF!</v>
      </c>
      <c r="AW8" s="306" t="e">
        <f>IF(#REF!=AQ2,AR2,IF(#REF!=AQ3,AR3,IF(#REF!=AQ4,AR4,IF(#REF!=AQ5,AR5,IF(#REF!=AQ6,AR6,IF(#REF!=AQ7,AR7,0))))))</f>
        <v>#REF!</v>
      </c>
      <c r="AX8" s="306" t="e">
        <f>IF(#REF!=AS2,10,IF(#REF!=AS3,16,IF(#REF!=AS4,18,IF(#REF!=AS5,19,IF(#REF!=AS6,4,0)))))</f>
        <v>#REF!</v>
      </c>
      <c r="AY8" s="306" t="e">
        <f t="shared" si="0"/>
        <v>#REF!</v>
      </c>
    </row>
    <row r="9" spans="1:52" ht="15" customHeight="1" x14ac:dyDescent="0.25">
      <c r="A9" s="387"/>
      <c r="B9" s="301"/>
      <c r="C9" s="301"/>
      <c r="D9" s="388" t="s">
        <v>492</v>
      </c>
      <c r="E9" s="388"/>
      <c r="F9" s="388"/>
      <c r="G9" s="388"/>
      <c r="H9" s="388"/>
      <c r="I9" s="388"/>
      <c r="J9" s="388"/>
      <c r="AL9" s="316"/>
      <c r="AP9" s="299">
        <v>600</v>
      </c>
      <c r="AQ9" s="247"/>
      <c r="AR9" s="247"/>
      <c r="AY9" s="305" t="e">
        <f>SUM(AY3:AY8)</f>
        <v>#REF!</v>
      </c>
    </row>
    <row r="10" spans="1:52" ht="15" customHeight="1" x14ac:dyDescent="0.25">
      <c r="A10" s="387"/>
      <c r="B10" s="301"/>
      <c r="C10" s="301"/>
      <c r="D10" s="1394" t="s">
        <v>491</v>
      </c>
      <c r="E10" s="1395"/>
      <c r="F10" s="1395"/>
      <c r="G10" s="1395"/>
      <c r="H10" s="1395"/>
      <c r="I10" s="1395"/>
      <c r="J10" s="1395"/>
      <c r="AL10" s="316"/>
      <c r="AP10" s="299">
        <v>650</v>
      </c>
      <c r="AQ10" s="247"/>
      <c r="AR10" s="247"/>
      <c r="AY10" s="307"/>
    </row>
    <row r="11" spans="1:52" ht="25.5" customHeight="1" x14ac:dyDescent="0.25">
      <c r="A11" s="387"/>
      <c r="B11" s="301"/>
      <c r="C11" s="301"/>
      <c r="D11" s="1395"/>
      <c r="E11" s="1395"/>
      <c r="F11" s="1395"/>
      <c r="G11" s="1395"/>
      <c r="H11" s="1395"/>
      <c r="I11" s="1395"/>
      <c r="J11" s="1395"/>
      <c r="AL11" s="316"/>
      <c r="AP11" s="299">
        <v>700</v>
      </c>
      <c r="AQ11" s="247"/>
      <c r="AR11" s="247"/>
    </row>
    <row r="12" spans="1:52" x14ac:dyDescent="0.25">
      <c r="A12" s="317"/>
      <c r="AL12" s="316"/>
    </row>
    <row r="13" spans="1:52" x14ac:dyDescent="0.25">
      <c r="A13" s="317"/>
      <c r="AL13" s="316"/>
    </row>
    <row r="14" spans="1:52" x14ac:dyDescent="0.25">
      <c r="A14" s="317"/>
      <c r="AL14" s="316"/>
    </row>
    <row r="15" spans="1:52" x14ac:dyDescent="0.25">
      <c r="A15" s="317"/>
      <c r="AL15" s="316"/>
    </row>
    <row r="16" spans="1:52" x14ac:dyDescent="0.25">
      <c r="A16" s="317"/>
      <c r="AL16" s="316"/>
    </row>
    <row r="17" spans="1:38" x14ac:dyDescent="0.25">
      <c r="A17" s="317"/>
      <c r="AL17" s="316"/>
    </row>
    <row r="18" spans="1:38" x14ac:dyDescent="0.25">
      <c r="A18" s="317"/>
      <c r="D18" s="318"/>
      <c r="AL18" s="316"/>
    </row>
    <row r="19" spans="1:38" x14ac:dyDescent="0.25">
      <c r="A19" s="317"/>
      <c r="D19" s="318"/>
      <c r="AL19" s="316"/>
    </row>
    <row r="20" spans="1:38" x14ac:dyDescent="0.25">
      <c r="A20" s="317"/>
      <c r="AL20" s="316"/>
    </row>
    <row r="21" spans="1:38" x14ac:dyDescent="0.25">
      <c r="A21" s="317"/>
      <c r="AL21" s="316"/>
    </row>
    <row r="22" spans="1:38" x14ac:dyDescent="0.25">
      <c r="A22" s="317"/>
      <c r="AL22" s="316"/>
    </row>
    <row r="23" spans="1:38" x14ac:dyDescent="0.25">
      <c r="A23" s="317"/>
      <c r="AL23" s="316"/>
    </row>
    <row r="24" spans="1:38" x14ac:dyDescent="0.25">
      <c r="A24" s="317"/>
      <c r="AL24" s="316"/>
    </row>
    <row r="25" spans="1:38" x14ac:dyDescent="0.25">
      <c r="A25" s="317"/>
      <c r="AL25" s="316"/>
    </row>
    <row r="26" spans="1:38" x14ac:dyDescent="0.25">
      <c r="A26" s="317"/>
      <c r="AL26" s="316"/>
    </row>
    <row r="27" spans="1:38" x14ac:dyDescent="0.25">
      <c r="A27" s="317"/>
      <c r="AL27" s="316"/>
    </row>
    <row r="28" spans="1:38" x14ac:dyDescent="0.25">
      <c r="A28" s="317"/>
      <c r="AL28" s="316"/>
    </row>
    <row r="29" spans="1:38" x14ac:dyDescent="0.25">
      <c r="A29" s="317"/>
      <c r="AL29" s="316"/>
    </row>
    <row r="30" spans="1:38" x14ac:dyDescent="0.25">
      <c r="A30" s="317"/>
      <c r="AL30" s="316"/>
    </row>
    <row r="31" spans="1:38" x14ac:dyDescent="0.25">
      <c r="A31" s="317"/>
      <c r="AL31" s="316"/>
    </row>
    <row r="32" spans="1:38" x14ac:dyDescent="0.25">
      <c r="A32" s="317"/>
      <c r="AL32" s="316"/>
    </row>
    <row r="33" spans="1:38" x14ac:dyDescent="0.25">
      <c r="A33" s="317"/>
      <c r="AL33" s="316"/>
    </row>
    <row r="34" spans="1:38" x14ac:dyDescent="0.25">
      <c r="A34" s="317"/>
      <c r="AL34" s="316"/>
    </row>
    <row r="35" spans="1:38" x14ac:dyDescent="0.25">
      <c r="A35" s="317"/>
      <c r="AL35" s="316"/>
    </row>
    <row r="36" spans="1:38" x14ac:dyDescent="0.25">
      <c r="A36" s="317"/>
      <c r="AL36" s="316"/>
    </row>
    <row r="37" spans="1:38" x14ac:dyDescent="0.25">
      <c r="A37" s="317"/>
      <c r="AL37" s="316"/>
    </row>
    <row r="38" spans="1:38" x14ac:dyDescent="0.25">
      <c r="A38" s="317"/>
      <c r="AL38" s="316"/>
    </row>
    <row r="39" spans="1:38" x14ac:dyDescent="0.25">
      <c r="A39" s="317"/>
      <c r="AL39" s="316"/>
    </row>
    <row r="40" spans="1:38" x14ac:dyDescent="0.25">
      <c r="A40" s="317"/>
      <c r="AL40" s="316"/>
    </row>
    <row r="41" spans="1:38" x14ac:dyDescent="0.25">
      <c r="A41" s="317"/>
      <c r="AL41" s="316"/>
    </row>
    <row r="42" spans="1:38" x14ac:dyDescent="0.25">
      <c r="A42" s="317"/>
      <c r="AL42" s="316"/>
    </row>
    <row r="43" spans="1:38" x14ac:dyDescent="0.25">
      <c r="A43" s="317"/>
      <c r="AL43" s="316"/>
    </row>
    <row r="44" spans="1:38" x14ac:dyDescent="0.25">
      <c r="A44" s="317"/>
      <c r="AL44" s="316"/>
    </row>
    <row r="45" spans="1:38" x14ac:dyDescent="0.25">
      <c r="A45" s="317"/>
      <c r="AL45" s="316"/>
    </row>
    <row r="46" spans="1:38" x14ac:dyDescent="0.25">
      <c r="A46" s="317"/>
      <c r="AL46" s="316"/>
    </row>
    <row r="47" spans="1:38" x14ac:dyDescent="0.25">
      <c r="A47" s="317"/>
      <c r="AL47" s="316"/>
    </row>
    <row r="48" spans="1:38" x14ac:dyDescent="0.25">
      <c r="A48" s="317"/>
      <c r="AL48" s="316"/>
    </row>
    <row r="49" spans="1:38" x14ac:dyDescent="0.25">
      <c r="A49" s="317"/>
      <c r="AL49" s="316"/>
    </row>
    <row r="50" spans="1:38" x14ac:dyDescent="0.25">
      <c r="A50" s="317"/>
      <c r="AL50" s="316"/>
    </row>
    <row r="51" spans="1:38" x14ac:dyDescent="0.25">
      <c r="A51" s="317"/>
      <c r="AL51" s="316"/>
    </row>
    <row r="52" spans="1:38" x14ac:dyDescent="0.25">
      <c r="A52" s="317"/>
      <c r="AL52" s="316"/>
    </row>
    <row r="53" spans="1:38" x14ac:dyDescent="0.25">
      <c r="A53" s="317"/>
      <c r="AL53" s="316"/>
    </row>
    <row r="54" spans="1:38" x14ac:dyDescent="0.25">
      <c r="A54" s="317"/>
      <c r="AL54" s="316"/>
    </row>
    <row r="55" spans="1:38" x14ac:dyDescent="0.25">
      <c r="A55" s="317"/>
      <c r="AL55" s="316"/>
    </row>
    <row r="56" spans="1:38" x14ac:dyDescent="0.25">
      <c r="A56" s="317"/>
      <c r="AL56" s="316"/>
    </row>
    <row r="57" spans="1:38" x14ac:dyDescent="0.25">
      <c r="A57" s="317"/>
      <c r="AL57" s="316"/>
    </row>
    <row r="58" spans="1:38" x14ac:dyDescent="0.25">
      <c r="A58" s="317"/>
      <c r="AL58" s="316"/>
    </row>
    <row r="59" spans="1:38" x14ac:dyDescent="0.25">
      <c r="A59" s="317"/>
      <c r="AL59" s="316"/>
    </row>
    <row r="60" spans="1:38" x14ac:dyDescent="0.25">
      <c r="A60" s="317"/>
      <c r="AL60" s="316"/>
    </row>
    <row r="61" spans="1:38" x14ac:dyDescent="0.25">
      <c r="A61" s="317"/>
      <c r="AL61" s="316"/>
    </row>
    <row r="62" spans="1:38" x14ac:dyDescent="0.25">
      <c r="A62" s="317"/>
      <c r="AL62" s="316"/>
    </row>
    <row r="63" spans="1:38" x14ac:dyDescent="0.25">
      <c r="A63" s="317"/>
      <c r="AL63" s="316"/>
    </row>
    <row r="64" spans="1:38" x14ac:dyDescent="0.25">
      <c r="A64" s="317"/>
      <c r="AL64" s="316"/>
    </row>
    <row r="65" spans="1:38" x14ac:dyDescent="0.25">
      <c r="A65" s="317"/>
      <c r="AL65" s="316"/>
    </row>
    <row r="66" spans="1:38" x14ac:dyDescent="0.25">
      <c r="A66" s="317"/>
      <c r="AL66" s="316"/>
    </row>
    <row r="67" spans="1:38" x14ac:dyDescent="0.25">
      <c r="A67" s="317"/>
      <c r="AL67" s="316"/>
    </row>
    <row r="68" spans="1:38" x14ac:dyDescent="0.25">
      <c r="A68" s="317"/>
      <c r="AL68" s="316"/>
    </row>
    <row r="69" spans="1:38" x14ac:dyDescent="0.25">
      <c r="A69" s="317"/>
      <c r="AL69" s="316"/>
    </row>
    <row r="70" spans="1:38" x14ac:dyDescent="0.25">
      <c r="A70" s="317"/>
      <c r="AL70" s="316"/>
    </row>
    <row r="71" spans="1:38" x14ac:dyDescent="0.25">
      <c r="A71" s="317"/>
      <c r="AL71" s="316"/>
    </row>
    <row r="72" spans="1:38" x14ac:dyDescent="0.25">
      <c r="A72" s="317"/>
      <c r="AL72" s="316"/>
    </row>
    <row r="73" spans="1:38" x14ac:dyDescent="0.25">
      <c r="A73" s="315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3"/>
    </row>
    <row r="74" spans="1:38" x14ac:dyDescent="0.25">
      <c r="A74" s="719"/>
      <c r="B74" s="720"/>
      <c r="C74" s="720"/>
      <c r="D74" s="720"/>
      <c r="E74" s="720"/>
      <c r="F74" s="720"/>
      <c r="G74" s="720"/>
      <c r="H74" s="720"/>
      <c r="I74" s="720"/>
      <c r="J74" s="720"/>
      <c r="K74" s="720"/>
      <c r="L74" s="720"/>
      <c r="M74" s="720"/>
      <c r="N74" s="720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0"/>
      <c r="AK74" s="720"/>
      <c r="AL74" s="720"/>
    </row>
    <row r="75" spans="1:38" x14ac:dyDescent="0.25">
      <c r="A75" s="315"/>
      <c r="B75" s="314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</row>
    <row r="76" spans="1:38" x14ac:dyDescent="0.25">
      <c r="A76" s="317"/>
    </row>
    <row r="77" spans="1:38" x14ac:dyDescent="0.25">
      <c r="A77" s="317"/>
    </row>
    <row r="81" spans="1:1" x14ac:dyDescent="0.25">
      <c r="A81" s="317"/>
    </row>
    <row r="82" spans="1:1" x14ac:dyDescent="0.25">
      <c r="A82" s="317"/>
    </row>
    <row r="83" spans="1:1" x14ac:dyDescent="0.25">
      <c r="A83" s="317"/>
    </row>
    <row r="84" spans="1:1" x14ac:dyDescent="0.25">
      <c r="A84" s="317"/>
    </row>
    <row r="85" spans="1:1" x14ac:dyDescent="0.25">
      <c r="A85" s="317"/>
    </row>
    <row r="86" spans="1:1" x14ac:dyDescent="0.25">
      <c r="A86" s="317"/>
    </row>
    <row r="87" spans="1:1" x14ac:dyDescent="0.25">
      <c r="A87" s="317"/>
    </row>
    <row r="88" spans="1:1" x14ac:dyDescent="0.25">
      <c r="A88" s="317"/>
    </row>
    <row r="89" spans="1:1" x14ac:dyDescent="0.25">
      <c r="A89" s="317"/>
    </row>
    <row r="90" spans="1:1" x14ac:dyDescent="0.25">
      <c r="A90" s="317"/>
    </row>
    <row r="91" spans="1:1" x14ac:dyDescent="0.25">
      <c r="A91" s="317"/>
    </row>
    <row r="92" spans="1:1" x14ac:dyDescent="0.25">
      <c r="A92" s="317"/>
    </row>
    <row r="93" spans="1:1" x14ac:dyDescent="0.25">
      <c r="A93" s="317"/>
    </row>
    <row r="94" spans="1:1" x14ac:dyDescent="0.25">
      <c r="A94" s="317"/>
    </row>
    <row r="95" spans="1:1" x14ac:dyDescent="0.25">
      <c r="A95" s="317"/>
    </row>
    <row r="96" spans="1:1" x14ac:dyDescent="0.25">
      <c r="A96" s="317"/>
    </row>
    <row r="97" spans="1:1" x14ac:dyDescent="0.25">
      <c r="A97" s="317"/>
    </row>
    <row r="98" spans="1:1" x14ac:dyDescent="0.25">
      <c r="A98" s="317"/>
    </row>
  </sheetData>
  <sheetProtection algorithmName="SHA-512" hashValue="k637k7Yf0nHq21Zwn4C0djHCJWKWVMx+r2P4tZTh/bnVKxSetjj1wVY8BiT7cI6J5DEWO9IkKVT3apMXHP1l0w==" saltValue="5Jxi0oCVOb0EjeZ7Uk7bow==" spinCount="100000" sheet="1" formatCells="0" formatColumns="0" formatRows="0" insertColumns="0" insertRows="0" insertHyperlinks="0" deleteColumns="0" deleteRows="0" sort="0" autoFilter="0" pivotTables="0"/>
  <mergeCells count="6">
    <mergeCell ref="AU1:AY1"/>
    <mergeCell ref="D3:J4"/>
    <mergeCell ref="D5:J6"/>
    <mergeCell ref="D7:J8"/>
    <mergeCell ref="D10:J11"/>
    <mergeCell ref="A1:AK1"/>
  </mergeCells>
  <hyperlinks>
    <hyperlink ref="AM1" location="Содержание!R1C1" display="← СОДЕРЖАНИЕ: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E46"/>
  <sheetViews>
    <sheetView showGridLines="0" zoomScale="89" zoomScaleNormal="89" workbookViewId="0">
      <selection activeCell="AL1" sqref="AL1"/>
    </sheetView>
  </sheetViews>
  <sheetFormatPr defaultRowHeight="15" x14ac:dyDescent="0.25"/>
  <cols>
    <col min="1" max="1" width="3.28515625" style="245" customWidth="1"/>
    <col min="2" max="2" width="34.42578125" style="245" customWidth="1"/>
    <col min="3" max="4" width="10.7109375" style="245" customWidth="1"/>
    <col min="5" max="5" width="11.140625" style="245" customWidth="1"/>
    <col min="6" max="7" width="2" style="245" customWidth="1"/>
    <col min="8" max="8" width="22.7109375" style="245" customWidth="1"/>
    <col min="9" max="10" width="2" style="245" customWidth="1"/>
    <col min="11" max="11" width="5.28515625" style="245" customWidth="1"/>
    <col min="12" max="12" width="5.140625" style="245" customWidth="1"/>
    <col min="13" max="30" width="2" style="245" customWidth="1"/>
    <col min="31" max="31" width="3.140625" style="245" customWidth="1"/>
    <col min="32" max="34" width="2" style="245" customWidth="1"/>
    <col min="35" max="35" width="2.42578125" style="245" customWidth="1"/>
    <col min="36" max="36" width="2" style="245" customWidth="1"/>
    <col min="37" max="37" width="3.7109375" style="245" customWidth="1"/>
    <col min="38" max="38" width="20.85546875" style="245" customWidth="1"/>
    <col min="39" max="39" width="18.42578125" style="245" customWidth="1"/>
    <col min="40" max="40" width="9.140625" style="245" hidden="1" customWidth="1"/>
    <col min="41" max="41" width="21.140625" style="245" hidden="1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3" width="12.42578125" style="245" hidden="1" customWidth="1"/>
    <col min="54" max="55" width="14.85546875" style="245" hidden="1" customWidth="1"/>
    <col min="56" max="57" width="9.140625" style="245" hidden="1" customWidth="1"/>
    <col min="58" max="16384" width="9.140625" style="245"/>
  </cols>
  <sheetData>
    <row r="1" spans="1:57" ht="52.5" customHeight="1" thickBot="1" x14ac:dyDescent="0.3">
      <c r="A1" s="1311" t="s">
        <v>545</v>
      </c>
      <c r="B1" s="1312"/>
      <c r="C1" s="1312"/>
      <c r="D1" s="1312"/>
      <c r="E1" s="1312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3"/>
      <c r="V1" s="1313"/>
      <c r="W1" s="1313"/>
      <c r="X1" s="1313"/>
      <c r="Y1" s="1313"/>
      <c r="Z1" s="1313"/>
      <c r="AA1" s="1313"/>
      <c r="AB1" s="1313"/>
      <c r="AC1" s="1313"/>
      <c r="AD1" s="1313"/>
      <c r="AE1" s="1313"/>
      <c r="AF1" s="1313"/>
      <c r="AG1" s="1313"/>
      <c r="AH1" s="1313"/>
      <c r="AI1" s="1313"/>
      <c r="AJ1" s="1313"/>
      <c r="AK1" s="1314"/>
      <c r="AL1" s="436" t="s">
        <v>544</v>
      </c>
      <c r="AN1" s="311"/>
      <c r="AO1" s="312" t="s">
        <v>490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  <c r="BA1" s="310" t="s">
        <v>483</v>
      </c>
      <c r="BB1" s="306" t="s">
        <v>482</v>
      </c>
      <c r="BC1" s="306" t="s">
        <v>481</v>
      </c>
      <c r="BD1" s="306" t="s">
        <v>480</v>
      </c>
      <c r="BE1" s="306" t="s">
        <v>456</v>
      </c>
    </row>
    <row r="2" spans="1:57" ht="21.75" customHeight="1" x14ac:dyDescent="0.25">
      <c r="A2" s="302"/>
      <c r="B2" s="301"/>
      <c r="C2" s="301"/>
      <c r="D2" s="301"/>
      <c r="E2" s="301"/>
      <c r="I2" s="1400" t="s">
        <v>552</v>
      </c>
      <c r="J2" s="1401"/>
      <c r="K2" s="1401"/>
      <c r="L2" s="1401"/>
      <c r="AK2" s="300"/>
      <c r="AN2" s="247"/>
      <c r="AO2" s="299"/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12</v>
      </c>
      <c r="BA2" s="306" t="s">
        <v>470</v>
      </c>
      <c r="BB2" s="306">
        <v>1.57</v>
      </c>
      <c r="BC2" s="306">
        <v>1.84</v>
      </c>
      <c r="BD2" s="306">
        <f>63*(C19-38)/1000000</f>
        <v>4.1958000000000002E-2</v>
      </c>
      <c r="BE2" s="306">
        <f>(C18-10)*(C19-35)/1000000</f>
        <v>0.32780999999999999</v>
      </c>
    </row>
    <row r="3" spans="1:57" ht="14.25" customHeight="1" x14ac:dyDescent="0.25">
      <c r="A3" s="302"/>
      <c r="B3" s="301"/>
      <c r="C3" s="301"/>
      <c r="D3" s="301"/>
      <c r="E3" s="301"/>
      <c r="I3" s="1401"/>
      <c r="J3" s="1401"/>
      <c r="K3" s="1401"/>
      <c r="L3" s="1401"/>
      <c r="AK3" s="300"/>
      <c r="AN3" s="247"/>
      <c r="AO3" s="299" t="s">
        <v>469</v>
      </c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465</v>
      </c>
      <c r="AV3" s="306">
        <v>1</v>
      </c>
      <c r="AW3" s="306">
        <f>IF(C18=AP6,BB9,BC9)</f>
        <v>1.84</v>
      </c>
      <c r="AX3" s="306">
        <v>1</v>
      </c>
      <c r="AY3" s="306">
        <f>AV3*AW3*AX3</f>
        <v>1.84</v>
      </c>
      <c r="BA3" s="306" t="s">
        <v>464</v>
      </c>
      <c r="BB3" s="306">
        <v>1.417</v>
      </c>
      <c r="BC3" s="306">
        <v>1.53</v>
      </c>
      <c r="BD3" s="306">
        <f>39*(C19-38)/1000000</f>
        <v>2.5974000000000001E-2</v>
      </c>
      <c r="BE3" s="306">
        <f>(C18-10)*(C19-35)/1000000</f>
        <v>0.32780999999999999</v>
      </c>
    </row>
    <row r="4" spans="1:57" ht="14.25" customHeight="1" x14ac:dyDescent="0.25">
      <c r="A4" s="302"/>
      <c r="B4" s="301"/>
      <c r="C4" s="301"/>
      <c r="D4" s="301"/>
      <c r="E4" s="301"/>
      <c r="I4" s="1401"/>
      <c r="J4" s="1401"/>
      <c r="K4" s="1401"/>
      <c r="L4" s="1401"/>
      <c r="AK4" s="300"/>
      <c r="AN4" s="247"/>
      <c r="AO4" s="299"/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460</v>
      </c>
      <c r="AV4" s="306">
        <f>BD9</f>
        <v>4.1958000000000002E-2</v>
      </c>
      <c r="AW4" s="306">
        <f>AR2</f>
        <v>680</v>
      </c>
      <c r="AX4" s="306">
        <v>16</v>
      </c>
      <c r="AY4" s="306">
        <f>AV4*AW4*AX4/1000</f>
        <v>0.45650303999999997</v>
      </c>
      <c r="BA4" s="306" t="s">
        <v>459</v>
      </c>
      <c r="BB4" s="306">
        <v>2.17</v>
      </c>
      <c r="BC4" s="306">
        <v>2.3359999999999999</v>
      </c>
      <c r="BD4" s="306">
        <f>101*(C19-38)/1000000</f>
        <v>6.7266000000000006E-2</v>
      </c>
      <c r="BE4" s="306">
        <f>(C18-10)*(C19-35)/1000000</f>
        <v>0.32780999999999999</v>
      </c>
    </row>
    <row r="5" spans="1:57" ht="14.25" customHeight="1" x14ac:dyDescent="0.25">
      <c r="A5" s="302"/>
      <c r="B5" s="301"/>
      <c r="C5" s="301"/>
      <c r="D5" s="301"/>
      <c r="E5" s="301"/>
      <c r="I5" s="1401"/>
      <c r="J5" s="1401"/>
      <c r="K5" s="1401"/>
      <c r="L5" s="1401"/>
      <c r="AK5" s="300"/>
      <c r="AN5" s="247"/>
      <c r="AO5" s="299"/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456</v>
      </c>
      <c r="AV5" s="306">
        <f>BE9</f>
        <v>0.32780999999999999</v>
      </c>
      <c r="AW5" s="306">
        <f>AR2</f>
        <v>680</v>
      </c>
      <c r="AX5" s="306">
        <v>16</v>
      </c>
      <c r="AY5" s="306">
        <f>AV5*AW5*AX5/1000</f>
        <v>3.5665727999999999</v>
      </c>
      <c r="BA5" s="306" t="s">
        <v>455</v>
      </c>
      <c r="BB5" s="306">
        <v>2.6259999999999999</v>
      </c>
      <c r="BC5" s="306">
        <v>2.871</v>
      </c>
      <c r="BD5" s="306">
        <f>148*(C19-38)/1000000</f>
        <v>9.8568000000000003E-2</v>
      </c>
      <c r="BE5" s="306">
        <f>(C18-10)*(C19-35)/1000000</f>
        <v>0.32780999999999999</v>
      </c>
    </row>
    <row r="6" spans="1:57" ht="14.25" customHeight="1" x14ac:dyDescent="0.25">
      <c r="A6" s="302"/>
      <c r="B6" s="301"/>
      <c r="C6" s="301"/>
      <c r="D6" s="301"/>
      <c r="E6" s="301"/>
      <c r="H6" s="303"/>
      <c r="I6" s="1401"/>
      <c r="J6" s="1401"/>
      <c r="K6" s="1401"/>
      <c r="L6" s="1401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4"/>
      <c r="AL6" s="303"/>
      <c r="AN6" s="247"/>
      <c r="AO6" s="299"/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452</v>
      </c>
      <c r="AV6" s="306">
        <f>C23*C24/1000000</f>
        <v>0.17100000000000001</v>
      </c>
      <c r="AW6" s="306">
        <f>IF(C22=AQ2,AR2,IF(C22=AQ3,AR3,IF(C22=AQ4,AR4,IF(C22=AQ5,AR5,IF(C22=AQ6,AR6,IF(C22=AQ7,AR7,0))))))</f>
        <v>760</v>
      </c>
      <c r="AX6" s="306">
        <f>IF(D22=AS2,10,IF(D22=AS3,16,IF(D22=AS4,18,IF(D22=AS5,19,IF(D22=AS6,4,0)))))</f>
        <v>19</v>
      </c>
      <c r="AY6" s="306">
        <f>AV6*AW6*AX6/1000</f>
        <v>2.4692400000000001</v>
      </c>
      <c r="BA6" s="306" t="s">
        <v>451</v>
      </c>
      <c r="BB6" s="306">
        <v>3.411</v>
      </c>
      <c r="BC6" s="306">
        <v>3.673</v>
      </c>
      <c r="BD6" s="306">
        <f>212*(C19-38)/1000000</f>
        <v>0.14119200000000001</v>
      </c>
      <c r="BE6" s="306">
        <f>(C18-10)*(C19-35)/1000000</f>
        <v>0.32780999999999999</v>
      </c>
    </row>
    <row r="7" spans="1:57" ht="14.25" customHeight="1" x14ac:dyDescent="0.25">
      <c r="A7" s="302"/>
      <c r="B7" s="301"/>
      <c r="C7" s="301"/>
      <c r="D7" s="301"/>
      <c r="E7" s="301"/>
      <c r="H7" s="303"/>
      <c r="I7" s="1401"/>
      <c r="J7" s="1401"/>
      <c r="K7" s="1401"/>
      <c r="L7" s="1401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8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4"/>
      <c r="AL7" s="303"/>
      <c r="AO7" s="299"/>
      <c r="AP7" s="299">
        <v>500</v>
      </c>
      <c r="AQ7" s="299" t="s">
        <v>449</v>
      </c>
      <c r="AR7" s="299">
        <v>900</v>
      </c>
      <c r="AS7" s="306"/>
      <c r="AY7" s="305">
        <f>SUM(AY3:AY6)</f>
        <v>8.3323158399999997</v>
      </c>
      <c r="BA7" s="306" t="s">
        <v>448</v>
      </c>
      <c r="BB7" s="306">
        <f>2.027+(0.796/1043*(C19-126))</f>
        <v>2.4681198465963567</v>
      </c>
      <c r="BC7" s="306">
        <f>2.167+(0.796/1043*(C19-126))</f>
        <v>2.6081198465963564</v>
      </c>
      <c r="BD7" s="306">
        <f>63*(C19-38)/1000000</f>
        <v>4.1958000000000002E-2</v>
      </c>
      <c r="BE7" s="306">
        <f>(C18-10)*(C19-35)/1000000</f>
        <v>0.32780999999999999</v>
      </c>
    </row>
    <row r="8" spans="1:57" ht="14.25" customHeight="1" x14ac:dyDescent="0.25">
      <c r="A8" s="302"/>
      <c r="B8" s="301"/>
      <c r="C8" s="301"/>
      <c r="D8" s="301"/>
      <c r="E8" s="301"/>
      <c r="H8" s="303"/>
      <c r="I8" s="1401"/>
      <c r="J8" s="1401"/>
      <c r="K8" s="1401"/>
      <c r="L8" s="1401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4"/>
      <c r="AL8" s="303"/>
      <c r="AO8" s="299"/>
      <c r="AP8" s="299">
        <v>550</v>
      </c>
      <c r="AQ8" s="247"/>
      <c r="AR8" s="247"/>
      <c r="AY8" s="307"/>
      <c r="BA8" s="306" t="s">
        <v>446</v>
      </c>
      <c r="BB8" s="306">
        <f>3.102+(0.796/1043*(C19-126))+(0.344/1080*(C19-90))</f>
        <v>3.7386902169667269</v>
      </c>
      <c r="BC8" s="306">
        <f>3.347+(0.796/1043*(C19-126))+(0.344/1080*(C19-90))</f>
        <v>3.983690216966727</v>
      </c>
      <c r="BD8" s="306">
        <f>148*(C19-38)/1000000</f>
        <v>9.8568000000000003E-2</v>
      </c>
      <c r="BE8" s="306">
        <f>(C18-10)*(C19-35)/1000000</f>
        <v>0.32780999999999999</v>
      </c>
    </row>
    <row r="9" spans="1:57" ht="14.25" customHeight="1" x14ac:dyDescent="0.25">
      <c r="A9" s="302"/>
      <c r="B9" s="301"/>
      <c r="C9" s="301"/>
      <c r="D9" s="301"/>
      <c r="E9" s="301"/>
      <c r="H9" s="303"/>
      <c r="I9" s="1401"/>
      <c r="J9" s="1401"/>
      <c r="K9" s="1401"/>
      <c r="L9" s="1401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4"/>
      <c r="AL9" s="303"/>
      <c r="AP9" s="299">
        <v>600</v>
      </c>
      <c r="AQ9" s="247"/>
      <c r="AR9" s="247"/>
      <c r="BA9" s="306" t="s">
        <v>445</v>
      </c>
      <c r="BB9" s="305">
        <f>IF(C17=AO2,BB3,IF(C17=AO3,BB2,IF(C17=AO4,BB4,IF(C17=AO5,BB5,IF(C17=AO6,BB6,IF(C17=AO7,BB7,IF(C17=AO8,BB8,0)))))))</f>
        <v>1.57</v>
      </c>
      <c r="BC9" s="305">
        <f>IF(C17=AO2,BC3,IF(C17=AO3,BC2,IF(C17=AO4,BC4,IF(C17=AO5,BC5,IF(C17=AO6,BC6,IF(C17=AO7,BC7,IF(C17=AO8,BC8,0)))))))</f>
        <v>1.84</v>
      </c>
      <c r="BD9" s="305">
        <f>IF(C17=AO2,BD3,IF(C17=AO3,BD2,IF(C17=AO4,BD4,IF(C17=AO5,BD5,IF(C17=AO6,BD6,IF(C17=AO7,BD7,IF(C17=AO8,BD8,0)))))))</f>
        <v>4.1958000000000002E-2</v>
      </c>
      <c r="BE9" s="305">
        <f>(C18-10)*(C19-35)/1000000</f>
        <v>0.32780999999999999</v>
      </c>
    </row>
    <row r="10" spans="1:57" ht="14.25" customHeight="1" x14ac:dyDescent="0.25">
      <c r="A10" s="302"/>
      <c r="B10" s="301"/>
      <c r="C10" s="301"/>
      <c r="D10" s="301"/>
      <c r="E10" s="301"/>
      <c r="H10" s="303"/>
      <c r="I10" s="1401"/>
      <c r="J10" s="1401"/>
      <c r="K10" s="1401"/>
      <c r="L10" s="1401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4"/>
      <c r="AL10" s="303"/>
      <c r="AP10" s="299">
        <v>650</v>
      </c>
      <c r="AQ10" s="247"/>
      <c r="AR10" s="247"/>
    </row>
    <row r="11" spans="1:57" ht="14.25" customHeight="1" x14ac:dyDescent="0.25">
      <c r="A11" s="302"/>
      <c r="B11" s="301"/>
      <c r="C11" s="301"/>
      <c r="D11" s="301"/>
      <c r="E11" s="301"/>
      <c r="I11" s="1401"/>
      <c r="J11" s="1401"/>
      <c r="K11" s="1401"/>
      <c r="L11" s="1401"/>
      <c r="AK11" s="300"/>
      <c r="AP11" s="299">
        <v>700</v>
      </c>
      <c r="AQ11" s="247"/>
      <c r="AR11" s="247"/>
    </row>
    <row r="12" spans="1:57" ht="12.75" customHeight="1" x14ac:dyDescent="0.25">
      <c r="A12" s="1316" t="s">
        <v>444</v>
      </c>
      <c r="B12" s="1317"/>
      <c r="C12" s="1317"/>
      <c r="D12" s="1317"/>
      <c r="E12" s="1317"/>
      <c r="F12" s="1317"/>
      <c r="G12" s="1317"/>
      <c r="H12" s="1317"/>
      <c r="I12" s="1317"/>
      <c r="J12" s="1317"/>
      <c r="K12" s="1317"/>
      <c r="L12" s="1317"/>
      <c r="M12" s="1317"/>
      <c r="N12" s="1317"/>
      <c r="O12" s="1317"/>
      <c r="P12" s="1317"/>
      <c r="Q12" s="1317"/>
      <c r="R12" s="1317"/>
      <c r="S12" s="1317"/>
      <c r="T12" s="1317"/>
      <c r="U12" s="1317"/>
      <c r="V12" s="1317"/>
      <c r="W12" s="1317"/>
      <c r="X12" s="1317"/>
      <c r="Y12" s="1317"/>
      <c r="Z12" s="1317"/>
      <c r="AA12" s="1317"/>
      <c r="AB12" s="1317"/>
      <c r="AC12" s="1317"/>
      <c r="AD12" s="1317"/>
      <c r="AE12" s="1317"/>
      <c r="AF12" s="1317"/>
      <c r="AG12" s="1317"/>
      <c r="AH12" s="1317"/>
      <c r="AI12" s="1317"/>
      <c r="AJ12" s="1317"/>
      <c r="AK12" s="1318"/>
      <c r="AP12" s="299">
        <v>750</v>
      </c>
      <c r="AQ12" s="247"/>
      <c r="AR12" s="247"/>
    </row>
    <row r="13" spans="1:57" ht="13.5" customHeight="1" x14ac:dyDescent="0.25">
      <c r="A13" s="298" t="s">
        <v>443</v>
      </c>
      <c r="B13" s="295"/>
      <c r="C13" s="295"/>
      <c r="D13" s="295"/>
      <c r="E13" s="295"/>
      <c r="F13" s="297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2"/>
      <c r="AP13" s="247"/>
      <c r="AQ13" s="247"/>
      <c r="AR13" s="247"/>
      <c r="BA13" s="441"/>
    </row>
    <row r="14" spans="1:57" ht="12" customHeight="1" x14ac:dyDescent="0.25">
      <c r="A14" s="296" t="s">
        <v>442</v>
      </c>
      <c r="B14" s="295"/>
      <c r="C14" s="295"/>
      <c r="D14" s="295"/>
      <c r="E14" s="295"/>
      <c r="F14" s="294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2"/>
      <c r="AP14" s="247"/>
      <c r="AQ14" s="247"/>
      <c r="AR14" s="247"/>
      <c r="BA14" s="441"/>
      <c r="BD14" s="442"/>
    </row>
    <row r="15" spans="1:57" ht="15" customHeight="1" x14ac:dyDescent="0.25">
      <c r="A15" s="369"/>
      <c r="B15" s="1271" t="s">
        <v>441</v>
      </c>
      <c r="C15" s="1271"/>
      <c r="D15" s="1271"/>
      <c r="E15" s="284"/>
      <c r="F15" s="284"/>
      <c r="G15" s="284"/>
      <c r="H15" s="284"/>
      <c r="I15" s="284"/>
      <c r="J15" s="284"/>
      <c r="K15" s="284"/>
      <c r="L15" s="291"/>
      <c r="M15" s="1319" t="s">
        <v>440</v>
      </c>
      <c r="N15" s="1319"/>
      <c r="O15" s="1319"/>
      <c r="P15" s="1319"/>
      <c r="Q15" s="1319"/>
      <c r="R15" s="1319"/>
      <c r="S15" s="1319"/>
      <c r="T15" s="1319"/>
      <c r="U15" s="1319"/>
      <c r="V15" s="1319"/>
      <c r="W15" s="1319"/>
      <c r="X15" s="1319"/>
      <c r="Y15" s="1319"/>
      <c r="Z15" s="1319"/>
      <c r="AA15" s="1319"/>
      <c r="AB15" s="1319"/>
      <c r="AC15" s="1319"/>
      <c r="AD15" s="1319"/>
      <c r="AE15" s="1319"/>
      <c r="AF15" s="1319"/>
      <c r="AG15" s="1319"/>
      <c r="AH15" s="1319"/>
      <c r="AI15" s="1319"/>
      <c r="AJ15" s="1319"/>
      <c r="AK15" s="256"/>
      <c r="AP15" s="247"/>
      <c r="AQ15" s="247"/>
      <c r="AR15" s="247"/>
      <c r="BD15" s="442"/>
    </row>
    <row r="16" spans="1:57" ht="18.75" customHeight="1" x14ac:dyDescent="0.25">
      <c r="A16" s="369"/>
      <c r="B16" s="1271"/>
      <c r="C16" s="1271"/>
      <c r="D16" s="1271"/>
      <c r="E16" s="284"/>
      <c r="F16" s="248"/>
      <c r="G16" s="279"/>
      <c r="H16" s="278"/>
      <c r="I16" s="376"/>
      <c r="J16" s="284"/>
      <c r="K16" s="284"/>
      <c r="L16" s="291"/>
      <c r="M16" s="1319"/>
      <c r="N16" s="1319"/>
      <c r="O16" s="1319"/>
      <c r="P16" s="1319"/>
      <c r="Q16" s="1319"/>
      <c r="R16" s="1319"/>
      <c r="S16" s="1319"/>
      <c r="T16" s="1319"/>
      <c r="U16" s="1319"/>
      <c r="V16" s="1319"/>
      <c r="W16" s="1319"/>
      <c r="X16" s="1319"/>
      <c r="Y16" s="1319"/>
      <c r="Z16" s="1319"/>
      <c r="AA16" s="1319"/>
      <c r="AB16" s="1319"/>
      <c r="AC16" s="1319"/>
      <c r="AD16" s="1319"/>
      <c r="AE16" s="1319"/>
      <c r="AF16" s="1319"/>
      <c r="AG16" s="1319"/>
      <c r="AH16" s="1319"/>
      <c r="AI16" s="1319"/>
      <c r="AJ16" s="1319"/>
      <c r="AK16" s="256"/>
      <c r="AP16" s="247"/>
      <c r="AQ16" s="247"/>
      <c r="AR16" s="247"/>
    </row>
    <row r="17" spans="1:50" ht="18.75" customHeight="1" x14ac:dyDescent="0.25">
      <c r="A17" s="369"/>
      <c r="B17" s="277" t="s">
        <v>546</v>
      </c>
      <c r="C17" s="1398" t="s">
        <v>521</v>
      </c>
      <c r="D17" s="1399"/>
      <c r="E17" s="257"/>
      <c r="F17" s="249"/>
      <c r="G17" s="279"/>
      <c r="H17" s="253"/>
      <c r="I17" s="376"/>
      <c r="J17" s="257"/>
      <c r="K17" s="257"/>
      <c r="L17" s="291"/>
      <c r="M17" s="1319"/>
      <c r="N17" s="1319"/>
      <c r="O17" s="1319"/>
      <c r="P17" s="1319"/>
      <c r="Q17" s="1319"/>
      <c r="R17" s="1319"/>
      <c r="S17" s="1319"/>
      <c r="T17" s="1319"/>
      <c r="U17" s="1319"/>
      <c r="V17" s="1319"/>
      <c r="W17" s="1319"/>
      <c r="X17" s="1319"/>
      <c r="Y17" s="1319"/>
      <c r="Z17" s="1319"/>
      <c r="AA17" s="1319"/>
      <c r="AB17" s="1319"/>
      <c r="AC17" s="1319"/>
      <c r="AD17" s="1319"/>
      <c r="AE17" s="1319"/>
      <c r="AF17" s="1319"/>
      <c r="AG17" s="1319"/>
      <c r="AH17" s="1319"/>
      <c r="AI17" s="1319"/>
      <c r="AJ17" s="1319"/>
      <c r="AK17" s="256"/>
      <c r="AP17" s="247"/>
      <c r="AQ17" s="247"/>
      <c r="AR17" s="247"/>
    </row>
    <row r="18" spans="1:50" ht="18.75" customHeight="1" x14ac:dyDescent="0.25">
      <c r="A18" s="369"/>
      <c r="B18" s="290" t="s">
        <v>438</v>
      </c>
      <c r="C18" s="1291">
        <v>500</v>
      </c>
      <c r="D18" s="1291"/>
      <c r="E18" s="375"/>
      <c r="F18" s="289"/>
      <c r="G18" s="279"/>
      <c r="H18" s="253"/>
      <c r="I18" s="376"/>
      <c r="J18" s="257"/>
      <c r="K18" s="257"/>
      <c r="L18" s="284"/>
      <c r="M18" s="1280" t="s">
        <v>437</v>
      </c>
      <c r="N18" s="1281"/>
      <c r="O18" s="1281"/>
      <c r="P18" s="1281"/>
      <c r="Q18" s="1281"/>
      <c r="R18" s="1309"/>
      <c r="S18" s="1280" t="s">
        <v>436</v>
      </c>
      <c r="T18" s="1281"/>
      <c r="U18" s="1281"/>
      <c r="V18" s="1281"/>
      <c r="W18" s="1281"/>
      <c r="X18" s="1281"/>
      <c r="Y18" s="1296" t="s">
        <v>435</v>
      </c>
      <c r="Z18" s="1297"/>
      <c r="AA18" s="1297"/>
      <c r="AB18" s="1297"/>
      <c r="AC18" s="1297"/>
      <c r="AD18" s="1298"/>
      <c r="AE18" s="1302" t="s">
        <v>434</v>
      </c>
      <c r="AF18" s="1302"/>
      <c r="AG18" s="1302"/>
      <c r="AH18" s="1302"/>
      <c r="AI18" s="1302"/>
      <c r="AJ18" s="1302"/>
      <c r="AK18" s="256"/>
      <c r="AP18" s="247"/>
      <c r="AQ18" s="247"/>
      <c r="AR18" s="247"/>
    </row>
    <row r="19" spans="1:50" ht="18.75" customHeight="1" x14ac:dyDescent="0.25">
      <c r="A19" s="369"/>
      <c r="B19" s="288" t="s">
        <v>433</v>
      </c>
      <c r="C19" s="1292">
        <v>704</v>
      </c>
      <c r="D19" s="1292"/>
      <c r="E19" s="257"/>
      <c r="F19" s="249"/>
      <c r="G19" s="279"/>
      <c r="H19" s="253"/>
      <c r="I19" s="376"/>
      <c r="J19" s="257"/>
      <c r="K19" s="257"/>
      <c r="L19" s="284"/>
      <c r="M19" s="1282"/>
      <c r="N19" s="1283"/>
      <c r="O19" s="1283"/>
      <c r="P19" s="1283"/>
      <c r="Q19" s="1283"/>
      <c r="R19" s="1310"/>
      <c r="S19" s="1282"/>
      <c r="T19" s="1283"/>
      <c r="U19" s="1283"/>
      <c r="V19" s="1283"/>
      <c r="W19" s="1283"/>
      <c r="X19" s="1283"/>
      <c r="Y19" s="1299"/>
      <c r="Z19" s="1300"/>
      <c r="AA19" s="1300"/>
      <c r="AB19" s="1300"/>
      <c r="AC19" s="1300"/>
      <c r="AD19" s="1301"/>
      <c r="AE19" s="1302"/>
      <c r="AF19" s="1302"/>
      <c r="AG19" s="1302"/>
      <c r="AH19" s="1302"/>
      <c r="AI19" s="1302"/>
      <c r="AJ19" s="1302"/>
      <c r="AK19" s="256"/>
      <c r="AP19" s="247"/>
      <c r="AQ19" s="247"/>
      <c r="AR19" s="247"/>
    </row>
    <row r="20" spans="1:50" ht="18.75" customHeight="1" x14ac:dyDescent="0.25">
      <c r="A20" s="369"/>
      <c r="B20" s="1277" t="s">
        <v>432</v>
      </c>
      <c r="C20" s="1278"/>
      <c r="D20" s="1279"/>
      <c r="E20" s="257"/>
      <c r="F20" s="249"/>
      <c r="G20" s="279"/>
      <c r="H20" s="253"/>
      <c r="I20" s="376"/>
      <c r="J20" s="257"/>
      <c r="K20" s="257"/>
      <c r="L20" s="284"/>
      <c r="M20" s="1303">
        <f>AY7</f>
        <v>8.3323158399999997</v>
      </c>
      <c r="N20" s="1304"/>
      <c r="O20" s="1304"/>
      <c r="P20" s="1304"/>
      <c r="Q20" s="1304"/>
      <c r="R20" s="1305"/>
      <c r="S20" s="1306">
        <f>C26/1000</f>
        <v>0</v>
      </c>
      <c r="T20" s="1307"/>
      <c r="U20" s="1307"/>
      <c r="V20" s="1307"/>
      <c r="W20" s="1307"/>
      <c r="X20" s="1307"/>
      <c r="Y20" s="1303">
        <f>C27</f>
        <v>20</v>
      </c>
      <c r="Z20" s="1304"/>
      <c r="AA20" s="1304"/>
      <c r="AB20" s="1304"/>
      <c r="AC20" s="1304"/>
      <c r="AD20" s="1305"/>
      <c r="AE20" s="1308">
        <f>M20+S20+Y20</f>
        <v>28.33231584</v>
      </c>
      <c r="AF20" s="1308"/>
      <c r="AG20" s="1308"/>
      <c r="AH20" s="1308"/>
      <c r="AI20" s="1308"/>
      <c r="AJ20" s="1308"/>
      <c r="AK20" s="256"/>
      <c r="AP20" s="247"/>
      <c r="AQ20" s="247"/>
      <c r="AR20" s="247"/>
      <c r="AX20" s="441"/>
    </row>
    <row r="21" spans="1:50" ht="18.75" customHeight="1" x14ac:dyDescent="0.25">
      <c r="A21" s="369"/>
      <c r="B21" s="287"/>
      <c r="C21" s="286" t="s">
        <v>431</v>
      </c>
      <c r="D21" s="285" t="s">
        <v>430</v>
      </c>
      <c r="E21" s="257"/>
      <c r="F21" s="249"/>
      <c r="G21" s="279"/>
      <c r="H21" s="253"/>
      <c r="I21" s="376"/>
      <c r="J21" s="257"/>
      <c r="K21" s="257"/>
      <c r="L21" s="284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2"/>
      <c r="AF21" s="282"/>
      <c r="AG21" s="282"/>
      <c r="AH21" s="282"/>
      <c r="AI21" s="282"/>
      <c r="AJ21" s="282"/>
      <c r="AK21" s="256"/>
      <c r="AP21" s="247"/>
      <c r="AQ21" s="247"/>
      <c r="AR21" s="247"/>
      <c r="AX21" s="441"/>
    </row>
    <row r="22" spans="1:50" ht="18.75" customHeight="1" x14ac:dyDescent="0.25">
      <c r="A22" s="369"/>
      <c r="B22" s="281" t="s">
        <v>340</v>
      </c>
      <c r="C22" s="443" t="s">
        <v>429</v>
      </c>
      <c r="D22" s="443" t="s">
        <v>428</v>
      </c>
      <c r="E22" s="257"/>
      <c r="F22" s="249"/>
      <c r="G22" s="279"/>
      <c r="H22" s="253"/>
      <c r="I22" s="376"/>
      <c r="J22" s="257"/>
      <c r="K22" s="257"/>
      <c r="L22" s="1274"/>
      <c r="M22" s="1274"/>
      <c r="N22" s="1274"/>
      <c r="O22" s="1274"/>
      <c r="P22" s="1274"/>
      <c r="Q22" s="1274"/>
      <c r="R22" s="1274"/>
      <c r="S22" s="1274"/>
      <c r="T22" s="1274"/>
      <c r="U22" s="1274"/>
      <c r="V22" s="1274"/>
      <c r="W22" s="1274"/>
      <c r="X22" s="1274"/>
      <c r="Y22" s="1274"/>
      <c r="Z22" s="1274"/>
      <c r="AA22" s="1274"/>
      <c r="AB22" s="1274"/>
      <c r="AC22" s="1274"/>
      <c r="AD22" s="1274"/>
      <c r="AE22" s="1274"/>
      <c r="AF22" s="1274"/>
      <c r="AG22" s="1274"/>
      <c r="AH22" s="1274"/>
      <c r="AI22" s="1274"/>
      <c r="AJ22" s="1274"/>
      <c r="AK22" s="256"/>
      <c r="AP22" s="247"/>
      <c r="AQ22" s="247"/>
      <c r="AR22" s="247"/>
    </row>
    <row r="23" spans="1:50" ht="18" customHeight="1" x14ac:dyDescent="0.25">
      <c r="A23" s="369"/>
      <c r="B23" s="277" t="s">
        <v>234</v>
      </c>
      <c r="C23" s="1264">
        <v>285</v>
      </c>
      <c r="D23" s="1264"/>
      <c r="E23" s="257"/>
      <c r="F23" s="249"/>
      <c r="G23" s="279"/>
      <c r="H23" s="278"/>
      <c r="I23" s="376"/>
      <c r="J23" s="257"/>
      <c r="K23" s="257"/>
      <c r="L23" s="1274"/>
      <c r="M23" s="1274"/>
      <c r="N23" s="1274"/>
      <c r="O23" s="1274"/>
      <c r="P23" s="1274"/>
      <c r="Q23" s="1274"/>
      <c r="R23" s="1274"/>
      <c r="S23" s="1274"/>
      <c r="T23" s="1274"/>
      <c r="U23" s="1274"/>
      <c r="V23" s="1274"/>
      <c r="W23" s="1274"/>
      <c r="X23" s="1274"/>
      <c r="Y23" s="1274"/>
      <c r="Z23" s="1274"/>
      <c r="AA23" s="1274"/>
      <c r="AB23" s="1274"/>
      <c r="AC23" s="1274"/>
      <c r="AD23" s="1274"/>
      <c r="AE23" s="1274"/>
      <c r="AF23" s="1274"/>
      <c r="AG23" s="1274"/>
      <c r="AH23" s="1274"/>
      <c r="AI23" s="1274"/>
      <c r="AJ23" s="1274"/>
      <c r="AK23" s="256"/>
      <c r="AP23" s="247"/>
      <c r="AQ23" s="247"/>
      <c r="AR23" s="247"/>
    </row>
    <row r="24" spans="1:50" ht="18.75" x14ac:dyDescent="0.25">
      <c r="A24" s="369"/>
      <c r="B24" s="277" t="s">
        <v>427</v>
      </c>
      <c r="C24" s="1264">
        <v>600</v>
      </c>
      <c r="D24" s="1264"/>
      <c r="E24" s="257"/>
      <c r="F24" s="276"/>
      <c r="G24" s="276"/>
      <c r="H24" s="276"/>
      <c r="I24" s="377"/>
      <c r="J24" s="377"/>
      <c r="K24" s="1269" t="s">
        <v>426</v>
      </c>
      <c r="L24" s="1270"/>
      <c r="M24" s="1275" t="s">
        <v>425</v>
      </c>
      <c r="N24" s="1275"/>
      <c r="O24" s="1275"/>
      <c r="P24" s="1275"/>
      <c r="Q24" s="1275" t="s">
        <v>424</v>
      </c>
      <c r="R24" s="1275"/>
      <c r="S24" s="1275"/>
      <c r="T24" s="1275"/>
      <c r="U24" s="1275" t="s">
        <v>423</v>
      </c>
      <c r="V24" s="1275"/>
      <c r="W24" s="1275"/>
      <c r="X24" s="1275"/>
      <c r="Y24" s="1275" t="s">
        <v>422</v>
      </c>
      <c r="Z24" s="1275"/>
      <c r="AA24" s="1275"/>
      <c r="AB24" s="1275"/>
      <c r="AC24" s="1275" t="s">
        <v>421</v>
      </c>
      <c r="AD24" s="1275"/>
      <c r="AE24" s="1275"/>
      <c r="AF24" s="1275"/>
      <c r="AG24" s="1275" t="s">
        <v>420</v>
      </c>
      <c r="AH24" s="1275"/>
      <c r="AI24" s="1275"/>
      <c r="AJ24" s="1275"/>
      <c r="AK24" s="256"/>
      <c r="AP24" s="247"/>
      <c r="AQ24" s="247"/>
      <c r="AR24" s="247"/>
    </row>
    <row r="25" spans="1:50" ht="18.75" customHeight="1" x14ac:dyDescent="0.25">
      <c r="A25" s="369"/>
      <c r="B25" s="1271" t="s">
        <v>419</v>
      </c>
      <c r="C25" s="1271"/>
      <c r="D25" s="1272"/>
      <c r="E25" s="1265"/>
      <c r="F25" s="1265"/>
      <c r="G25" s="1265"/>
      <c r="H25" s="1265"/>
      <c r="I25" s="257"/>
      <c r="J25" s="257"/>
      <c r="K25" s="1267" t="s">
        <v>418</v>
      </c>
      <c r="L25" s="264" t="s">
        <v>417</v>
      </c>
      <c r="M25" s="275"/>
      <c r="N25" s="273"/>
      <c r="O25" s="274"/>
      <c r="P25" s="274"/>
      <c r="Q25" s="274"/>
      <c r="R25" s="274"/>
      <c r="S25" s="273"/>
      <c r="T25" s="272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0"/>
      <c r="AF25" s="270"/>
      <c r="AG25" s="270"/>
      <c r="AH25" s="270"/>
      <c r="AI25" s="270"/>
      <c r="AJ25" s="269"/>
      <c r="AK25" s="256"/>
      <c r="AP25" s="247"/>
      <c r="AQ25" s="247"/>
      <c r="AR25" s="247"/>
    </row>
    <row r="26" spans="1:50" ht="18.75" customHeight="1" x14ac:dyDescent="0.25">
      <c r="A26" s="369"/>
      <c r="B26" s="268" t="s">
        <v>416</v>
      </c>
      <c r="C26" s="1273">
        <v>0</v>
      </c>
      <c r="D26" s="1272"/>
      <c r="E26" s="1285" t="s">
        <v>415</v>
      </c>
      <c r="F26" s="1286"/>
      <c r="G26" s="1286"/>
      <c r="H26" s="1286"/>
      <c r="I26" s="257"/>
      <c r="J26" s="257"/>
      <c r="K26" s="1268"/>
      <c r="L26" s="264" t="s">
        <v>414</v>
      </c>
      <c r="M26" s="267"/>
      <c r="N26" s="266"/>
      <c r="O26" s="260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8"/>
      <c r="AC26" s="266"/>
      <c r="AD26" s="266"/>
      <c r="AE26" s="266"/>
      <c r="AF26" s="266"/>
      <c r="AG26" s="266"/>
      <c r="AH26" s="266"/>
      <c r="AI26" s="266"/>
      <c r="AJ26" s="265"/>
      <c r="AK26" s="256"/>
      <c r="AP26" s="247"/>
      <c r="AQ26" s="247"/>
      <c r="AR26" s="247"/>
    </row>
    <row r="27" spans="1:50" ht="18.75" customHeight="1" x14ac:dyDescent="0.25">
      <c r="A27" s="369"/>
      <c r="B27" s="1289" t="s">
        <v>413</v>
      </c>
      <c r="C27" s="1273">
        <v>20</v>
      </c>
      <c r="D27" s="1272"/>
      <c r="E27" s="1287"/>
      <c r="F27" s="1288"/>
      <c r="G27" s="1288"/>
      <c r="H27" s="1288"/>
      <c r="I27" s="257"/>
      <c r="J27" s="257"/>
      <c r="K27" s="1268"/>
      <c r="L27" s="264" t="s">
        <v>412</v>
      </c>
      <c r="M27" s="263"/>
      <c r="N27" s="262"/>
      <c r="O27" s="262"/>
      <c r="P27" s="262"/>
      <c r="Q27" s="262"/>
      <c r="R27" s="262"/>
      <c r="S27" s="262"/>
      <c r="T27" s="262"/>
      <c r="U27" s="261"/>
      <c r="V27" s="261"/>
      <c r="W27" s="260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8"/>
      <c r="AK27" s="256"/>
      <c r="AP27" s="247"/>
      <c r="AQ27" s="247"/>
      <c r="AR27" s="247"/>
    </row>
    <row r="28" spans="1:50" ht="18" customHeight="1" x14ac:dyDescent="0.25">
      <c r="A28" s="369"/>
      <c r="B28" s="1290"/>
      <c r="C28" s="1273"/>
      <c r="D28" s="1272"/>
      <c r="E28" s="1287"/>
      <c r="F28" s="1288"/>
      <c r="G28" s="1288"/>
      <c r="H28" s="1288"/>
      <c r="I28" s="257"/>
      <c r="J28" s="257"/>
      <c r="K28" s="257"/>
      <c r="L28" s="1294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294"/>
      <c r="N28" s="1294"/>
      <c r="O28" s="1294"/>
      <c r="P28" s="1294"/>
      <c r="Q28" s="1294"/>
      <c r="R28" s="1294"/>
      <c r="S28" s="1294"/>
      <c r="T28" s="1294"/>
      <c r="U28" s="1294"/>
      <c r="V28" s="1294"/>
      <c r="W28" s="1294"/>
      <c r="X28" s="1294"/>
      <c r="Y28" s="1294"/>
      <c r="Z28" s="1294"/>
      <c r="AA28" s="1294"/>
      <c r="AB28" s="1294"/>
      <c r="AC28" s="1294"/>
      <c r="AD28" s="1294"/>
      <c r="AE28" s="1294"/>
      <c r="AF28" s="1294"/>
      <c r="AG28" s="1294"/>
      <c r="AH28" s="1294"/>
      <c r="AI28" s="1294"/>
      <c r="AJ28" s="1294"/>
      <c r="AK28" s="256"/>
      <c r="AP28" s="247"/>
      <c r="AQ28" s="247"/>
      <c r="AR28" s="247"/>
    </row>
    <row r="29" spans="1:50" ht="18.75" hidden="1" customHeight="1" x14ac:dyDescent="0.25">
      <c r="A29" s="369"/>
      <c r="B29" s="255"/>
      <c r="C29" s="254"/>
      <c r="D29" s="253"/>
      <c r="E29" s="1266"/>
      <c r="F29" s="1266"/>
      <c r="G29" s="1266"/>
      <c r="H29" s="1266"/>
      <c r="I29" s="249"/>
      <c r="J29" s="249"/>
      <c r="K29" s="257"/>
      <c r="L29" s="1295"/>
      <c r="M29" s="1295"/>
      <c r="N29" s="1295"/>
      <c r="O29" s="1295"/>
      <c r="P29" s="1295"/>
      <c r="Q29" s="1295"/>
      <c r="R29" s="1295"/>
      <c r="S29" s="1295"/>
      <c r="T29" s="1295"/>
      <c r="U29" s="1295"/>
      <c r="V29" s="1295"/>
      <c r="W29" s="1295"/>
      <c r="X29" s="1295"/>
      <c r="Y29" s="1295"/>
      <c r="Z29" s="1295"/>
      <c r="AA29" s="1295"/>
      <c r="AB29" s="1295"/>
      <c r="AC29" s="1295"/>
      <c r="AD29" s="1295"/>
      <c r="AE29" s="1295"/>
      <c r="AF29" s="1295"/>
      <c r="AG29" s="1295"/>
      <c r="AH29" s="1295"/>
      <c r="AI29" s="1295"/>
      <c r="AJ29" s="1295"/>
      <c r="AK29" s="256"/>
      <c r="AP29" s="247"/>
      <c r="AQ29" s="247"/>
      <c r="AR29" s="247"/>
    </row>
    <row r="30" spans="1:50" ht="18.75" customHeight="1" x14ac:dyDescent="0.25">
      <c r="A30" s="370"/>
      <c r="B30" s="371"/>
      <c r="C30" s="372"/>
      <c r="D30" s="373"/>
      <c r="E30" s="1284"/>
      <c r="F30" s="1284"/>
      <c r="G30" s="1284"/>
      <c r="H30" s="1284"/>
      <c r="I30" s="374"/>
      <c r="J30" s="374"/>
      <c r="K30" s="252"/>
      <c r="L30" s="1293" t="s">
        <v>411</v>
      </c>
      <c r="M30" s="1293"/>
      <c r="N30" s="1293"/>
      <c r="O30" s="1293"/>
      <c r="P30" s="1293"/>
      <c r="Q30" s="1293"/>
      <c r="R30" s="1293"/>
      <c r="S30" s="1293"/>
      <c r="T30" s="1293"/>
      <c r="U30" s="1293"/>
      <c r="V30" s="1293"/>
      <c r="W30" s="1293"/>
      <c r="X30" s="1293"/>
      <c r="Y30" s="1293"/>
      <c r="Z30" s="1293"/>
      <c r="AA30" s="1293"/>
      <c r="AB30" s="1293"/>
      <c r="AC30" s="1293"/>
      <c r="AD30" s="1293"/>
      <c r="AE30" s="251">
        <f>FLOOR(1125/(C19-240),1)</f>
        <v>2</v>
      </c>
      <c r="AF30" s="1276" t="str">
        <f>IF(AE30&lt;2,"ящик",IF(AE30&lt;5,"ящика","ящиков"))</f>
        <v>ящика</v>
      </c>
      <c r="AG30" s="1276"/>
      <c r="AH30" s="1276"/>
      <c r="AI30" s="1276"/>
      <c r="AJ30" s="367"/>
      <c r="AK30" s="250"/>
      <c r="AP30" s="247"/>
      <c r="AQ30" s="247"/>
      <c r="AR30" s="247"/>
    </row>
    <row r="31" spans="1:50" ht="24" customHeight="1" x14ac:dyDescent="0.35">
      <c r="A31" s="1261"/>
      <c r="B31" s="1262"/>
      <c r="C31" s="1262"/>
      <c r="D31" s="1262"/>
      <c r="E31" s="1263"/>
      <c r="F31" s="1263"/>
      <c r="G31" s="1263"/>
      <c r="H31" s="1263"/>
      <c r="I31" s="1263"/>
      <c r="J31" s="1263"/>
      <c r="K31" s="1263"/>
      <c r="L31" s="248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8"/>
      <c r="AP31" s="247"/>
      <c r="AQ31" s="247"/>
      <c r="AR31" s="247"/>
    </row>
    <row r="32" spans="1:50" ht="23.25" customHeight="1" x14ac:dyDescent="0.25">
      <c r="A32" s="248"/>
      <c r="B32" s="248"/>
      <c r="C32" s="248"/>
      <c r="D32" s="248"/>
      <c r="E32" s="1323"/>
      <c r="F32" s="1324"/>
      <c r="G32" s="1324"/>
      <c r="H32" s="1324"/>
      <c r="I32" s="1324"/>
      <c r="J32" s="1324"/>
      <c r="K32" s="248"/>
      <c r="L32" s="248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8"/>
      <c r="AP32" s="247"/>
      <c r="AQ32" s="247"/>
      <c r="AR32" s="247"/>
    </row>
    <row r="33" spans="1:10" ht="19.5" customHeight="1" x14ac:dyDescent="0.25">
      <c r="A33" s="246"/>
      <c r="E33" s="1325"/>
      <c r="F33" s="1325"/>
      <c r="G33" s="1325"/>
      <c r="H33" s="1325"/>
      <c r="I33" s="1325"/>
      <c r="J33" s="1325"/>
    </row>
    <row r="34" spans="1:10" ht="18.75" customHeight="1" x14ac:dyDescent="0.25">
      <c r="E34" s="1326"/>
      <c r="F34" s="1327"/>
      <c r="G34" s="1327"/>
      <c r="H34" s="1327"/>
      <c r="I34" s="1327"/>
      <c r="J34" s="1327"/>
    </row>
    <row r="35" spans="1:10" ht="23.25" customHeight="1" x14ac:dyDescent="0.25">
      <c r="E35" s="1327"/>
      <c r="F35" s="1327"/>
      <c r="G35" s="1327"/>
      <c r="H35" s="1327"/>
      <c r="I35" s="1327"/>
      <c r="J35" s="1327"/>
    </row>
    <row r="36" spans="1:10" x14ac:dyDescent="0.25">
      <c r="E36" s="1323"/>
      <c r="F36" s="1324"/>
      <c r="G36" s="1324"/>
      <c r="H36" s="1324"/>
      <c r="I36" s="1324"/>
      <c r="J36" s="1324"/>
    </row>
    <row r="37" spans="1:10" x14ac:dyDescent="0.25">
      <c r="E37" s="1325"/>
      <c r="F37" s="1325"/>
      <c r="G37" s="1325"/>
      <c r="H37" s="1325"/>
      <c r="I37" s="1325"/>
      <c r="J37" s="1325"/>
    </row>
    <row r="38" spans="1:10" x14ac:dyDescent="0.25">
      <c r="E38" s="1323"/>
      <c r="F38" s="1324"/>
      <c r="G38" s="1324"/>
      <c r="H38" s="1324"/>
      <c r="I38" s="1324"/>
      <c r="J38" s="1324"/>
    </row>
    <row r="39" spans="1:10" ht="21.75" customHeight="1" x14ac:dyDescent="0.25">
      <c r="E39" s="1325"/>
      <c r="F39" s="1325"/>
      <c r="G39" s="1325"/>
      <c r="H39" s="1325"/>
      <c r="I39" s="1325"/>
      <c r="J39" s="1325"/>
    </row>
    <row r="40" spans="1:10" x14ac:dyDescent="0.25">
      <c r="E40" s="1325"/>
      <c r="F40" s="1325"/>
      <c r="G40" s="1325"/>
      <c r="H40" s="1325"/>
      <c r="I40" s="1325"/>
      <c r="J40" s="1325"/>
    </row>
    <row r="41" spans="1:10" x14ac:dyDescent="0.25">
      <c r="E41" s="1328"/>
      <c r="F41" s="1329"/>
      <c r="G41" s="1329"/>
      <c r="H41" s="1329"/>
      <c r="I41" s="1329"/>
      <c r="J41" s="1329"/>
    </row>
    <row r="42" spans="1:10" x14ac:dyDescent="0.25">
      <c r="E42" s="1328"/>
      <c r="F42" s="1329"/>
      <c r="G42" s="1329"/>
      <c r="H42" s="1329"/>
      <c r="I42" s="1329"/>
      <c r="J42" s="1329"/>
    </row>
    <row r="44" spans="1:10" x14ac:dyDescent="0.25">
      <c r="E44" s="1321"/>
      <c r="F44" s="1322"/>
      <c r="G44" s="1322"/>
      <c r="H44" s="1322"/>
      <c r="I44" s="1322"/>
      <c r="J44" s="1322"/>
    </row>
    <row r="45" spans="1:10" x14ac:dyDescent="0.25">
      <c r="E45" s="1321"/>
      <c r="F45" s="1322"/>
      <c r="G45" s="1322"/>
      <c r="H45" s="1322"/>
      <c r="I45" s="1322"/>
      <c r="J45" s="1322"/>
    </row>
    <row r="46" spans="1:10" x14ac:dyDescent="0.25">
      <c r="E46" s="1321"/>
      <c r="F46" s="1322"/>
      <c r="G46" s="1322"/>
      <c r="H46" s="1322"/>
      <c r="I46" s="1322"/>
      <c r="J46" s="1322"/>
    </row>
  </sheetData>
  <sheetProtection algorithmName="SHA-512" hashValue="82ovE/xCHLVU8jnZ0meOnn8mKptDsZF4vP5GT+6zFPWV9m1pqfVRFvhwBpIGBVm9Oq5TbTmmUnFu7SgXFf3rXw==" saltValue="gbupr9QI+J49w6pxuFCQGA==" spinCount="100000" sheet="1" formatCells="0" formatColumns="0" formatRows="0" insertColumns="0" insertRows="0" insertHyperlinks="0" deleteColumns="0" deleteRows="0" sort="0" autoFilter="0" pivotTables="0"/>
  <dataConsolidate/>
  <mergeCells count="50">
    <mergeCell ref="E45:J45"/>
    <mergeCell ref="E46:J46"/>
    <mergeCell ref="E34:J35"/>
    <mergeCell ref="E36:J37"/>
    <mergeCell ref="E38:J40"/>
    <mergeCell ref="E41:J41"/>
    <mergeCell ref="E42:J42"/>
    <mergeCell ref="E44:J44"/>
    <mergeCell ref="E29:H29"/>
    <mergeCell ref="E30:H30"/>
    <mergeCell ref="L30:AD30"/>
    <mergeCell ref="AF30:AI30"/>
    <mergeCell ref="A31:K31"/>
    <mergeCell ref="E32:J33"/>
    <mergeCell ref="AC24:AF24"/>
    <mergeCell ref="AG24:AJ24"/>
    <mergeCell ref="B25:D25"/>
    <mergeCell ref="E25:H25"/>
    <mergeCell ref="K25:K27"/>
    <mergeCell ref="C26:D26"/>
    <mergeCell ref="E26:H28"/>
    <mergeCell ref="B27:B28"/>
    <mergeCell ref="C27:D28"/>
    <mergeCell ref="L28:AJ29"/>
    <mergeCell ref="C24:D24"/>
    <mergeCell ref="K24:L24"/>
    <mergeCell ref="M24:P24"/>
    <mergeCell ref="Q24:T24"/>
    <mergeCell ref="U24:X24"/>
    <mergeCell ref="Y24:AB24"/>
    <mergeCell ref="B20:D20"/>
    <mergeCell ref="M20:R20"/>
    <mergeCell ref="S20:X20"/>
    <mergeCell ref="Y20:AD20"/>
    <mergeCell ref="AE20:AJ20"/>
    <mergeCell ref="L22:AJ23"/>
    <mergeCell ref="C23:D23"/>
    <mergeCell ref="C18:D18"/>
    <mergeCell ref="M18:R19"/>
    <mergeCell ref="S18:X19"/>
    <mergeCell ref="Y18:AD19"/>
    <mergeCell ref="AE18:AJ19"/>
    <mergeCell ref="C19:D19"/>
    <mergeCell ref="A1:AK1"/>
    <mergeCell ref="AU1:AY1"/>
    <mergeCell ref="A12:AK12"/>
    <mergeCell ref="B15:D16"/>
    <mergeCell ref="M15:AJ17"/>
    <mergeCell ref="C17:D17"/>
    <mergeCell ref="I2:L11"/>
  </mergeCells>
  <conditionalFormatting sqref="H23">
    <cfRule type="expression" dxfId="27" priority="25">
      <formula>$C$22=$AT$3</formula>
    </cfRule>
  </conditionalFormatting>
  <conditionalFormatting sqref="M25:M27">
    <cfRule type="expression" dxfId="26" priority="24">
      <formula>$AZ$2=1</formula>
    </cfRule>
  </conditionalFormatting>
  <conditionalFormatting sqref="N25:N27">
    <cfRule type="expression" dxfId="25" priority="23">
      <formula>$AZ$2=2</formula>
    </cfRule>
  </conditionalFormatting>
  <conditionalFormatting sqref="O25:O27">
    <cfRule type="expression" dxfId="24" priority="22">
      <formula>$AZ$2=3</formula>
    </cfRule>
  </conditionalFormatting>
  <conditionalFormatting sqref="P25:P27">
    <cfRule type="expression" dxfId="23" priority="21">
      <formula>$AZ$2=4</formula>
    </cfRule>
  </conditionalFormatting>
  <conditionalFormatting sqref="Q25:Q27">
    <cfRule type="expression" dxfId="22" priority="20">
      <formula>$AZ$2=5</formula>
    </cfRule>
  </conditionalFormatting>
  <conditionalFormatting sqref="R25:R27">
    <cfRule type="expression" dxfId="21" priority="19">
      <formula>$AZ$2=6</formula>
    </cfRule>
  </conditionalFormatting>
  <conditionalFormatting sqref="S25:S27">
    <cfRule type="expression" dxfId="20" priority="18">
      <formula>$AZ$2=7</formula>
    </cfRule>
  </conditionalFormatting>
  <conditionalFormatting sqref="T25:T27">
    <cfRule type="expression" dxfId="19" priority="17">
      <formula>$AZ$2=8</formula>
    </cfRule>
  </conditionalFormatting>
  <conditionalFormatting sqref="U25:U27">
    <cfRule type="expression" dxfId="18" priority="16">
      <formula>$AZ$2=9</formula>
    </cfRule>
  </conditionalFormatting>
  <conditionalFormatting sqref="V25:V27">
    <cfRule type="expression" dxfId="17" priority="15">
      <formula>$AZ$2=10</formula>
    </cfRule>
  </conditionalFormatting>
  <conditionalFormatting sqref="W25:W27">
    <cfRule type="expression" dxfId="16" priority="14">
      <formula>$AZ$2=11</formula>
    </cfRule>
  </conditionalFormatting>
  <conditionalFormatting sqref="X25:X27">
    <cfRule type="expression" dxfId="15" priority="13">
      <formula>$AZ$2=12</formula>
    </cfRule>
  </conditionalFormatting>
  <conditionalFormatting sqref="Y25:Y27">
    <cfRule type="expression" dxfId="14" priority="12">
      <formula>$AZ$2=13</formula>
    </cfRule>
  </conditionalFormatting>
  <conditionalFormatting sqref="Z25:Z27">
    <cfRule type="expression" dxfId="13" priority="11">
      <formula>$AZ$2=14</formula>
    </cfRule>
  </conditionalFormatting>
  <conditionalFormatting sqref="AA25:AA27">
    <cfRule type="expression" dxfId="12" priority="10">
      <formula>$AZ$2=15</formula>
    </cfRule>
  </conditionalFormatting>
  <conditionalFormatting sqref="AB25:AB27">
    <cfRule type="expression" dxfId="11" priority="9">
      <formula>$AZ$2=16</formula>
    </cfRule>
  </conditionalFormatting>
  <conditionalFormatting sqref="AC25:AC27">
    <cfRule type="expression" dxfId="10" priority="8">
      <formula>$AZ$2=17</formula>
    </cfRule>
  </conditionalFormatting>
  <conditionalFormatting sqref="AD25:AD27">
    <cfRule type="expression" dxfId="9" priority="7">
      <formula>$AZ$2=18</formula>
    </cfRule>
  </conditionalFormatting>
  <conditionalFormatting sqref="AE25:AE27">
    <cfRule type="expression" dxfId="8" priority="6">
      <formula>$AZ$2=19</formula>
    </cfRule>
  </conditionalFormatting>
  <conditionalFormatting sqref="AF25:AF27">
    <cfRule type="expression" dxfId="7" priority="5">
      <formula>$AZ$2=20</formula>
    </cfRule>
  </conditionalFormatting>
  <conditionalFormatting sqref="AG25:AG27">
    <cfRule type="expression" dxfId="6" priority="4">
      <formula>$AZ$2=21</formula>
    </cfRule>
  </conditionalFormatting>
  <conditionalFormatting sqref="AH25:AH27">
    <cfRule type="expression" dxfId="5" priority="3">
      <formula>$AZ$2=22</formula>
    </cfRule>
  </conditionalFormatting>
  <conditionalFormatting sqref="AI25:AI27">
    <cfRule type="expression" dxfId="4" priority="2">
      <formula>$AZ$2=23</formula>
    </cfRule>
  </conditionalFormatting>
  <conditionalFormatting sqref="AJ25:AJ27">
    <cfRule type="expression" dxfId="3" priority="1">
      <formula>$AZ$2=24</formula>
    </cfRule>
  </conditionalFormatting>
  <conditionalFormatting sqref="L25">
    <cfRule type="expression" dxfId="2" priority="26">
      <formula>AND(#REF!&gt;349,$AE$20&lt;20.01)</formula>
    </cfRule>
  </conditionalFormatting>
  <conditionalFormatting sqref="L26">
    <cfRule type="expression" dxfId="1" priority="27">
      <formula>AND(#REF!&gt;349,$AE$20&gt;4.99,$AE$20&lt;40.01)</formula>
    </cfRule>
  </conditionalFormatting>
  <conditionalFormatting sqref="L27">
    <cfRule type="expression" dxfId="0" priority="28">
      <formula>AND(#REF!&gt;349,$AE$20&gt;24.99,$AE$20&lt;60)</formula>
    </cfRule>
  </conditionalFormatting>
  <dataValidations count="5">
    <dataValidation type="list" allowBlank="1" showInputMessage="1" showErrorMessage="1" sqref="C17:D17" xr:uid="{00000000-0002-0000-1200-000000000000}">
      <formula1>$AO$2:$AO$8</formula1>
    </dataValidation>
    <dataValidation type="list" allowBlank="1" showInputMessage="1" showErrorMessage="1" sqref="AM9" xr:uid="{00000000-0002-0000-1200-000001000000}">
      <formula1>$AM$2:$AM$6</formula1>
    </dataValidation>
    <dataValidation type="list" allowBlank="1" showInputMessage="1" showErrorMessage="1" sqref="C18:D18" xr:uid="{00000000-0002-0000-1200-000002000000}">
      <formula1>$AP$6:$AP$7</formula1>
    </dataValidation>
    <dataValidation type="list" allowBlank="1" showInputMessage="1" showErrorMessage="1" sqref="C22" xr:uid="{00000000-0002-0000-1200-000003000000}">
      <formula1>$AQ$2:$AQ$6</formula1>
    </dataValidation>
    <dataValidation type="list" allowBlank="1" showInputMessage="1" showErrorMessage="1" sqref="D22" xr:uid="{00000000-0002-0000-1200-000004000000}">
      <formula1>$AS$3:$AS$5</formula1>
    </dataValidation>
  </dataValidations>
  <hyperlinks>
    <hyperlink ref="AL1" location="Содержание!R1C1" display="← СОДЕРЖАНИЕ:" xr:uid="{00000000-0004-0000-12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pageSetUpPr fitToPage="1"/>
  </sheetPr>
  <dimension ref="A1:AZ98"/>
  <sheetViews>
    <sheetView showGridLines="0" topLeftCell="A46" zoomScale="80" zoomScaleNormal="80" zoomScalePageLayoutView="55" workbookViewId="0">
      <selection activeCell="AN124" sqref="AN124"/>
    </sheetView>
  </sheetViews>
  <sheetFormatPr defaultRowHeight="15" x14ac:dyDescent="0.25"/>
  <cols>
    <col min="1" max="1" width="3" style="245" customWidth="1"/>
    <col min="2" max="2" width="43.28515625" style="245" customWidth="1"/>
    <col min="3" max="3" width="14.28515625" style="245" customWidth="1"/>
    <col min="4" max="4" width="11.7109375" style="245" customWidth="1"/>
    <col min="5" max="5" width="9.42578125" style="245" customWidth="1"/>
    <col min="6" max="6" width="2" style="245" customWidth="1"/>
    <col min="7" max="7" width="2.28515625" style="245" customWidth="1"/>
    <col min="8" max="8" width="26.42578125" style="245" customWidth="1"/>
    <col min="9" max="10" width="2.42578125" style="245" customWidth="1"/>
    <col min="11" max="12" width="5.28515625" style="245" customWidth="1"/>
    <col min="13" max="13" width="2" style="245" customWidth="1"/>
    <col min="14" max="14" width="2.28515625" style="245" customWidth="1"/>
    <col min="15" max="15" width="2" style="245" customWidth="1"/>
    <col min="16" max="16" width="2.85546875" style="245" customWidth="1"/>
    <col min="17" max="17" width="2.7109375" style="245" customWidth="1"/>
    <col min="18" max="18" width="2.85546875" style="245" customWidth="1"/>
    <col min="19" max="19" width="2.28515625" style="245" customWidth="1"/>
    <col min="20" max="20" width="2.7109375" style="245" customWidth="1"/>
    <col min="21" max="21" width="2.140625" style="245" customWidth="1"/>
    <col min="22" max="22" width="2.7109375" style="245" customWidth="1"/>
    <col min="23" max="23" width="1.7109375" style="245" customWidth="1"/>
    <col min="24" max="24" width="2.42578125" style="245" customWidth="1"/>
    <col min="25" max="25" width="2" style="245" customWidth="1"/>
    <col min="26" max="26" width="1.7109375" style="245" customWidth="1"/>
    <col min="27" max="27" width="2.42578125" style="245" customWidth="1"/>
    <col min="28" max="28" width="2.7109375" style="245" customWidth="1"/>
    <col min="29" max="29" width="2.42578125" style="245" customWidth="1"/>
    <col min="30" max="30" width="2.5703125" style="245" customWidth="1"/>
    <col min="31" max="31" width="4.140625" style="245" customWidth="1"/>
    <col min="32" max="32" width="2.140625" style="245" customWidth="1"/>
    <col min="33" max="33" width="2" style="245" customWidth="1"/>
    <col min="34" max="34" width="2.5703125" style="245" customWidth="1"/>
    <col min="35" max="35" width="2.28515625" style="245" customWidth="1"/>
    <col min="36" max="36" width="2" style="245" customWidth="1"/>
    <col min="37" max="37" width="2.85546875" style="245" customWidth="1"/>
    <col min="38" max="38" width="6.85546875" style="245" customWidth="1"/>
    <col min="39" max="39" width="20.85546875" style="245" customWidth="1"/>
    <col min="40" max="41" width="9.140625" style="245" customWidth="1"/>
    <col min="42" max="42" width="9.140625" style="245" hidden="1" customWidth="1"/>
    <col min="43" max="43" width="19.42578125" style="245" hidden="1" customWidth="1"/>
    <col min="44" max="44" width="10.42578125" style="245" hidden="1" customWidth="1"/>
    <col min="45" max="45" width="20.28515625" style="245" hidden="1" customWidth="1"/>
    <col min="46" max="46" width="24" style="245" hidden="1" customWidth="1"/>
    <col min="47" max="47" width="11.42578125" style="245" hidden="1" customWidth="1"/>
    <col min="48" max="48" width="11.28515625" style="245" hidden="1" customWidth="1"/>
    <col min="49" max="49" width="10.28515625" style="245" hidden="1" customWidth="1"/>
    <col min="50" max="50" width="9" style="245" hidden="1" customWidth="1"/>
    <col min="51" max="52" width="9.140625" style="245" hidden="1" customWidth="1"/>
    <col min="53" max="54" width="9.140625" style="245" customWidth="1"/>
    <col min="55" max="16384" width="9.140625" style="245"/>
  </cols>
  <sheetData>
    <row r="1" spans="1:52" ht="45.75" customHeight="1" thickBot="1" x14ac:dyDescent="0.3">
      <c r="A1" s="1340"/>
      <c r="B1" s="1341"/>
      <c r="C1" s="1341"/>
      <c r="D1" s="1341"/>
      <c r="E1" s="1341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W1" s="1342"/>
      <c r="X1" s="1342"/>
      <c r="Y1" s="1342"/>
      <c r="Z1" s="1342"/>
      <c r="AA1" s="1342"/>
      <c r="AB1" s="1342"/>
      <c r="AC1" s="1342"/>
      <c r="AD1" s="1342"/>
      <c r="AE1" s="1342"/>
      <c r="AF1" s="1342"/>
      <c r="AG1" s="1342"/>
      <c r="AH1" s="1342"/>
      <c r="AI1" s="1342"/>
      <c r="AJ1" s="1342"/>
      <c r="AK1" s="1342"/>
      <c r="AL1" s="378"/>
      <c r="AM1" s="436" t="s">
        <v>544</v>
      </c>
      <c r="AP1" s="299" t="s">
        <v>489</v>
      </c>
      <c r="AQ1" s="299" t="s">
        <v>431</v>
      </c>
      <c r="AR1" s="299" t="s">
        <v>488</v>
      </c>
      <c r="AS1" s="306" t="s">
        <v>487</v>
      </c>
      <c r="AT1" s="309" t="s">
        <v>486</v>
      </c>
      <c r="AU1" s="1315" t="s">
        <v>485</v>
      </c>
      <c r="AV1" s="1315"/>
      <c r="AW1" s="1315"/>
      <c r="AX1" s="1315"/>
      <c r="AY1" s="1315"/>
      <c r="AZ1" s="311" t="s">
        <v>484</v>
      </c>
    </row>
    <row r="2" spans="1:52" ht="15" customHeight="1" x14ac:dyDescent="0.25">
      <c r="A2" s="387"/>
      <c r="B2" s="301"/>
      <c r="C2" s="301"/>
      <c r="D2" s="388"/>
      <c r="E2" s="388"/>
      <c r="F2" s="388"/>
      <c r="G2" s="388"/>
      <c r="H2" s="388"/>
      <c r="I2" s="388"/>
      <c r="J2" s="388"/>
      <c r="AL2" s="316"/>
      <c r="AN2" s="361"/>
      <c r="AP2" s="299">
        <v>270</v>
      </c>
      <c r="AQ2" s="299" t="s">
        <v>478</v>
      </c>
      <c r="AR2" s="299">
        <v>680</v>
      </c>
      <c r="AS2" s="306" t="s">
        <v>477</v>
      </c>
      <c r="AT2" s="309" t="s">
        <v>476</v>
      </c>
      <c r="AU2" s="306" t="s">
        <v>475</v>
      </c>
      <c r="AV2" s="306" t="s">
        <v>474</v>
      </c>
      <c r="AW2" s="306" t="s">
        <v>473</v>
      </c>
      <c r="AX2" s="306" t="s">
        <v>472</v>
      </c>
      <c r="AY2" s="306" t="s">
        <v>471</v>
      </c>
      <c r="AZ2" s="245" t="e">
        <f>IF(#REF!&lt;0,0,IF(#REF!&lt;2.51,1,IF(#REF!&lt;5.01,2,IF(#REF!&lt;7.51,3,IF(#REF!&lt;10.01,4,IF(#REF!&lt;12.51,5,IF(#REF!&lt;15.01,6,IF(#REF!&lt;17.51,7,IF(#REF!&lt;20.01,8,IF(#REF!&lt;22.51,9,IF(#REF!&lt;25.01,10,IF(#REF!&lt;27.51,11,IF(#REF!&lt;30.01,12,IF(#REF!&lt;32.51,13,IF(#REF!&lt;35.01,14,IF(#REF!&lt;37.51,15,IF(#REF!&lt;40.01,16,IF(#REF!&lt;42.51,17,IF(#REF!&lt;45.01,18,IF(#REF!&lt;47.51,19,IF(#REF!&lt;50.01,20,IF(#REF!&lt;52.51,21,IF(#REF!&lt;55.01,22,IF(#REF!&lt;57.51,23,IF(#REF!&lt;60,24,25)))))))))))))))))))))))))</f>
        <v>#REF!</v>
      </c>
    </row>
    <row r="3" spans="1:52" ht="15" customHeight="1" x14ac:dyDescent="0.25">
      <c r="A3" s="387"/>
      <c r="B3" s="301"/>
      <c r="C3" s="301"/>
      <c r="D3" s="1394"/>
      <c r="E3" s="1395"/>
      <c r="F3" s="1395"/>
      <c r="G3" s="1395"/>
      <c r="H3" s="1395"/>
      <c r="I3" s="1395"/>
      <c r="J3" s="1395"/>
      <c r="AL3" s="316"/>
      <c r="AP3" s="299">
        <v>300</v>
      </c>
      <c r="AQ3" s="299" t="s">
        <v>468</v>
      </c>
      <c r="AR3" s="299">
        <v>550</v>
      </c>
      <c r="AS3" s="306" t="s">
        <v>467</v>
      </c>
      <c r="AT3" s="309" t="s">
        <v>466</v>
      </c>
      <c r="AU3" s="306" t="s">
        <v>520</v>
      </c>
      <c r="AV3" s="306" t="e">
        <f>(#REF!-10)*#REF!/1000000</f>
        <v>#REF!</v>
      </c>
      <c r="AW3" s="306" t="e">
        <f>IF(#REF!=AQ2,AR2,IF(#REF!=AQ3,AR3,IF(#REF!=AQ4,AR4,IF(#REF!=AQ5,AR5,IF(#REF!=AQ6,AR6,IF(#REF!=AQ7,AR7,0))))))</f>
        <v>#REF!</v>
      </c>
      <c r="AX3" s="306" t="e">
        <f>IF(#REF!=AS2,10,IF(#REF!=AS3,16,IF(#REF!=AS4,18,IF(#REF!=AS5,19,IF(#REF!=AS6,4,0)))))</f>
        <v>#REF!</v>
      </c>
      <c r="AY3" s="306" t="e">
        <f t="shared" ref="AY3:AY8" si="0">AV3*AW3*AX3/1000</f>
        <v>#REF!</v>
      </c>
    </row>
    <row r="4" spans="1:52" ht="15" customHeight="1" x14ac:dyDescent="0.25">
      <c r="A4" s="387"/>
      <c r="B4" s="301"/>
      <c r="C4" s="301"/>
      <c r="D4" s="1395"/>
      <c r="E4" s="1395"/>
      <c r="F4" s="1395"/>
      <c r="G4" s="1395"/>
      <c r="H4" s="1395"/>
      <c r="I4" s="1395"/>
      <c r="J4" s="1395"/>
      <c r="AL4" s="316"/>
      <c r="AP4" s="299">
        <v>350</v>
      </c>
      <c r="AQ4" s="299" t="s">
        <v>462</v>
      </c>
      <c r="AR4" s="299">
        <v>750</v>
      </c>
      <c r="AS4" s="306" t="s">
        <v>461</v>
      </c>
      <c r="AU4" s="306" t="s">
        <v>519</v>
      </c>
      <c r="AV4" s="306" t="e">
        <f>(#REF!-10)*#REF!/1000000</f>
        <v>#REF!</v>
      </c>
      <c r="AW4" s="306" t="e">
        <f>IF(#REF!=AQ2,AR2,IF(#REF!=AQ3,AR3,IF(#REF!=AQ4,AR4,IF(#REF!=AQ5,AR5,IF(#REF!=AQ6,AR6,IF(#REF!=AQ7,AR7,0))))))</f>
        <v>#REF!</v>
      </c>
      <c r="AX4" s="306" t="e">
        <f>IF(#REF!=AS2,10,IF(#REF!=AS3,16,IF(#REF!=AS4,18,IF(#REF!=AS5,19,IF(#REF!=AS6,4,0)))))</f>
        <v>#REF!</v>
      </c>
      <c r="AY4" s="306" t="e">
        <f t="shared" si="0"/>
        <v>#REF!</v>
      </c>
    </row>
    <row r="5" spans="1:52" ht="15" customHeight="1" x14ac:dyDescent="0.25">
      <c r="A5" s="387"/>
      <c r="B5" s="301"/>
      <c r="C5" s="301"/>
      <c r="D5" s="1396"/>
      <c r="E5" s="1397"/>
      <c r="F5" s="1397"/>
      <c r="G5" s="1397"/>
      <c r="H5" s="1397"/>
      <c r="I5" s="1397"/>
      <c r="J5" s="1397"/>
      <c r="AL5" s="316"/>
      <c r="AP5" s="299">
        <v>400</v>
      </c>
      <c r="AQ5" s="299" t="s">
        <v>457</v>
      </c>
      <c r="AR5" s="299">
        <v>690</v>
      </c>
      <c r="AS5" s="306" t="s">
        <v>428</v>
      </c>
      <c r="AU5" s="306" t="s">
        <v>518</v>
      </c>
      <c r="AV5" s="306" t="e">
        <f>(#REF!-42)*#REF!/1000000</f>
        <v>#REF!</v>
      </c>
      <c r="AW5" s="306" t="e">
        <f>IF(#REF!=AQ2,AR2,IF(#REF!=AQ3,AR3,IF(#REF!=AQ4,AR4,IF(#REF!=AQ5,AR5,IF(#REF!=AQ6,AR6,IF(#REF!=AQ7,AR7,0))))))</f>
        <v>#REF!</v>
      </c>
      <c r="AX5" s="306" t="e">
        <f>IF(#REF!=AS2,10,IF(#REF!=AS3,16,IF(#REF!=AS4,18,IF(#REF!=AS5,19,IF(#REF!=AS6,4,0)))))</f>
        <v>#REF!</v>
      </c>
      <c r="AY5" s="306" t="e">
        <f t="shared" si="0"/>
        <v>#REF!</v>
      </c>
    </row>
    <row r="6" spans="1:52" ht="15" customHeight="1" x14ac:dyDescent="0.25">
      <c r="A6" s="387"/>
      <c r="B6" s="301"/>
      <c r="C6" s="301"/>
      <c r="D6" s="1397"/>
      <c r="E6" s="1397"/>
      <c r="F6" s="1397"/>
      <c r="G6" s="1397"/>
      <c r="H6" s="1397"/>
      <c r="I6" s="1397"/>
      <c r="J6" s="1397"/>
      <c r="AL6" s="316"/>
      <c r="AP6" s="299">
        <v>450</v>
      </c>
      <c r="AQ6" s="299" t="s">
        <v>429</v>
      </c>
      <c r="AR6" s="299">
        <v>760</v>
      </c>
      <c r="AS6" s="306" t="s">
        <v>453</v>
      </c>
      <c r="AU6" s="306" t="s">
        <v>517</v>
      </c>
      <c r="AV6" s="306" t="e">
        <f>IF(#REF!=AT2,(#REF!-42)*#REF!/1000000,0)</f>
        <v>#REF!</v>
      </c>
      <c r="AW6" s="306" t="e">
        <f>IF(#REF!=AQ2,AR2,IF(#REF!=AQ3,AR3,IF(#REF!=AQ4,AR4,IF(#REF!=AQ5,AR5,IF(#REF!=AQ6,AR6,IF(#REF!=AQ7,AR7,0))))))</f>
        <v>#REF!</v>
      </c>
      <c r="AX6" s="306" t="e">
        <f>IF(#REF!=AS2,10,IF(#REF!=AS3,16,IF(#REF!=AS4,18,IF(#REF!=AS5,19,IF(#REF!=AS6,4,0)))))</f>
        <v>#REF!</v>
      </c>
      <c r="AY6" s="306" t="e">
        <f t="shared" si="0"/>
        <v>#REF!</v>
      </c>
    </row>
    <row r="7" spans="1:52" ht="15" customHeight="1" x14ac:dyDescent="0.25">
      <c r="A7" s="387"/>
      <c r="B7" s="301"/>
      <c r="C7" s="301"/>
      <c r="D7" s="1394"/>
      <c r="E7" s="1395"/>
      <c r="F7" s="1395"/>
      <c r="G7" s="1395"/>
      <c r="H7" s="1395"/>
      <c r="I7" s="1395"/>
      <c r="J7" s="1395"/>
      <c r="AL7" s="316"/>
      <c r="AP7" s="299">
        <v>500</v>
      </c>
      <c r="AQ7" s="299" t="s">
        <v>449</v>
      </c>
      <c r="AR7" s="299">
        <v>900</v>
      </c>
      <c r="AS7" s="306"/>
      <c r="AU7" s="306" t="s">
        <v>516</v>
      </c>
      <c r="AV7" s="306" t="e">
        <f>IF(#REF!=AT2,(#REF!-42)*(#REF!-10-(AX5*2))/1000000,(#REF!-42)*(#REF!-10-AX5)/1000000)</f>
        <v>#REF!</v>
      </c>
      <c r="AW7" s="306" t="e">
        <f>IF(#REF!=AQ2,AR2,IF(#REF!=AQ3,AR3,IF(#REF!=AQ4,AR4,IF(#REF!=AQ5,AR5,IF(#REF!=AQ6,AR6,IF(#REF!=AQ7,AR7,0))))))</f>
        <v>#REF!</v>
      </c>
      <c r="AX7" s="306" t="e">
        <f>IF(#REF!=AS2,10,IF(#REF!=AS3,16,IF(#REF!=AS4,18,IF(#REF!=AS5,19,IF(#REF!=AS6,4,0)))))</f>
        <v>#REF!</v>
      </c>
      <c r="AY7" s="306" t="e">
        <f t="shared" si="0"/>
        <v>#REF!</v>
      </c>
    </row>
    <row r="8" spans="1:52" ht="15" customHeight="1" x14ac:dyDescent="0.25">
      <c r="A8" s="387"/>
      <c r="B8" s="301"/>
      <c r="C8" s="301"/>
      <c r="D8" s="1395"/>
      <c r="E8" s="1395"/>
      <c r="F8" s="1395"/>
      <c r="G8" s="1395"/>
      <c r="H8" s="1395"/>
      <c r="I8" s="1395"/>
      <c r="J8" s="1395"/>
      <c r="AL8" s="316"/>
      <c r="AP8" s="299">
        <v>550</v>
      </c>
      <c r="AQ8" s="247"/>
      <c r="AR8" s="247"/>
      <c r="AU8" s="306" t="s">
        <v>515</v>
      </c>
      <c r="AV8" s="306" t="e">
        <f>#REF!*#REF!/1000000</f>
        <v>#REF!</v>
      </c>
      <c r="AW8" s="306" t="e">
        <f>IF(#REF!=AQ2,AR2,IF(#REF!=AQ3,AR3,IF(#REF!=AQ4,AR4,IF(#REF!=AQ5,AR5,IF(#REF!=AQ6,AR6,IF(#REF!=AQ7,AR7,0))))))</f>
        <v>#REF!</v>
      </c>
      <c r="AX8" s="306" t="e">
        <f>IF(#REF!=AS2,10,IF(#REF!=AS3,16,IF(#REF!=AS4,18,IF(#REF!=AS5,19,IF(#REF!=AS6,4,0)))))</f>
        <v>#REF!</v>
      </c>
      <c r="AY8" s="306" t="e">
        <f t="shared" si="0"/>
        <v>#REF!</v>
      </c>
    </row>
    <row r="9" spans="1:52" ht="15" customHeight="1" x14ac:dyDescent="0.25">
      <c r="A9" s="387"/>
      <c r="B9" s="301"/>
      <c r="C9" s="301"/>
      <c r="D9" s="388"/>
      <c r="E9" s="388"/>
      <c r="F9" s="388"/>
      <c r="G9" s="388"/>
      <c r="H9" s="388"/>
      <c r="I9" s="388"/>
      <c r="J9" s="388"/>
      <c r="AL9" s="316"/>
      <c r="AP9" s="299">
        <v>600</v>
      </c>
      <c r="AQ9" s="247"/>
      <c r="AR9" s="247"/>
      <c r="AY9" s="305" t="e">
        <f>SUM(AY3:AY8)</f>
        <v>#REF!</v>
      </c>
    </row>
    <row r="10" spans="1:52" ht="15" customHeight="1" x14ac:dyDescent="0.25">
      <c r="A10" s="387"/>
      <c r="B10" s="301"/>
      <c r="C10" s="301"/>
      <c r="D10" s="1394"/>
      <c r="E10" s="1395"/>
      <c r="F10" s="1395"/>
      <c r="G10" s="1395"/>
      <c r="H10" s="1395"/>
      <c r="I10" s="1395"/>
      <c r="J10" s="1395"/>
      <c r="AL10" s="316"/>
      <c r="AP10" s="299">
        <v>650</v>
      </c>
      <c r="AQ10" s="247"/>
      <c r="AR10" s="247"/>
      <c r="AY10" s="307"/>
    </row>
    <row r="11" spans="1:52" ht="25.5" customHeight="1" x14ac:dyDescent="0.25">
      <c r="A11" s="387"/>
      <c r="B11" s="301"/>
      <c r="C11" s="301"/>
      <c r="D11" s="1395"/>
      <c r="E11" s="1395"/>
      <c r="F11" s="1395"/>
      <c r="G11" s="1395"/>
      <c r="H11" s="1395"/>
      <c r="I11" s="1395"/>
      <c r="J11" s="1395"/>
      <c r="AL11" s="316"/>
      <c r="AP11" s="299">
        <v>700</v>
      </c>
      <c r="AQ11" s="247"/>
      <c r="AR11" s="247"/>
    </row>
    <row r="12" spans="1:52" x14ac:dyDescent="0.25">
      <c r="A12" s="317"/>
      <c r="AL12" s="316"/>
    </row>
    <row r="13" spans="1:52" x14ac:dyDescent="0.25">
      <c r="A13" s="317"/>
      <c r="AL13" s="316"/>
    </row>
    <row r="14" spans="1:52" x14ac:dyDescent="0.25">
      <c r="A14" s="317"/>
      <c r="AL14" s="316"/>
    </row>
    <row r="15" spans="1:52" x14ac:dyDescent="0.25">
      <c r="A15" s="317"/>
      <c r="AL15" s="316"/>
    </row>
    <row r="16" spans="1:52" x14ac:dyDescent="0.25">
      <c r="A16" s="317"/>
      <c r="AL16" s="316"/>
    </row>
    <row r="17" spans="1:38" x14ac:dyDescent="0.25">
      <c r="A17" s="317"/>
      <c r="AL17" s="316"/>
    </row>
    <row r="18" spans="1:38" x14ac:dyDescent="0.25">
      <c r="A18" s="317"/>
      <c r="D18" s="318"/>
      <c r="AL18" s="316"/>
    </row>
    <row r="19" spans="1:38" x14ac:dyDescent="0.25">
      <c r="A19" s="317"/>
      <c r="D19" s="318"/>
      <c r="AL19" s="316"/>
    </row>
    <row r="20" spans="1:38" x14ac:dyDescent="0.25">
      <c r="A20" s="317"/>
      <c r="AL20" s="316"/>
    </row>
    <row r="21" spans="1:38" x14ac:dyDescent="0.25">
      <c r="A21" s="317"/>
      <c r="AL21" s="316"/>
    </row>
    <row r="22" spans="1:38" x14ac:dyDescent="0.25">
      <c r="A22" s="317"/>
      <c r="AL22" s="316"/>
    </row>
    <row r="23" spans="1:38" x14ac:dyDescent="0.25">
      <c r="A23" s="317"/>
      <c r="AL23" s="316"/>
    </row>
    <row r="24" spans="1:38" x14ac:dyDescent="0.25">
      <c r="A24" s="317"/>
      <c r="AL24" s="316"/>
    </row>
    <row r="25" spans="1:38" x14ac:dyDescent="0.25">
      <c r="A25" s="317"/>
      <c r="AL25" s="316"/>
    </row>
    <row r="26" spans="1:38" x14ac:dyDescent="0.25">
      <c r="A26" s="317"/>
      <c r="AL26" s="316"/>
    </row>
    <row r="27" spans="1:38" x14ac:dyDescent="0.25">
      <c r="A27" s="317"/>
      <c r="AL27" s="316"/>
    </row>
    <row r="28" spans="1:38" x14ac:dyDescent="0.25">
      <c r="A28" s="317"/>
      <c r="AL28" s="316"/>
    </row>
    <row r="29" spans="1:38" x14ac:dyDescent="0.25">
      <c r="A29" s="317"/>
      <c r="AL29" s="316"/>
    </row>
    <row r="30" spans="1:38" x14ac:dyDescent="0.25">
      <c r="A30" s="317"/>
      <c r="AL30" s="316"/>
    </row>
    <row r="31" spans="1:38" x14ac:dyDescent="0.25">
      <c r="A31" s="317"/>
      <c r="AL31" s="316"/>
    </row>
    <row r="32" spans="1:38" x14ac:dyDescent="0.25">
      <c r="A32" s="317"/>
      <c r="AL32" s="316"/>
    </row>
    <row r="33" spans="1:38" x14ac:dyDescent="0.25">
      <c r="A33" s="317"/>
      <c r="AL33" s="316"/>
    </row>
    <row r="34" spans="1:38" x14ac:dyDescent="0.25">
      <c r="A34" s="317"/>
      <c r="AL34" s="316"/>
    </row>
    <row r="35" spans="1:38" x14ac:dyDescent="0.25">
      <c r="A35" s="317"/>
      <c r="AL35" s="316"/>
    </row>
    <row r="36" spans="1:38" x14ac:dyDescent="0.25">
      <c r="A36" s="317"/>
      <c r="AL36" s="316"/>
    </row>
    <row r="37" spans="1:38" x14ac:dyDescent="0.25">
      <c r="A37" s="317"/>
      <c r="AL37" s="316"/>
    </row>
    <row r="38" spans="1:38" x14ac:dyDescent="0.25">
      <c r="A38" s="317"/>
      <c r="AL38" s="316"/>
    </row>
    <row r="39" spans="1:38" x14ac:dyDescent="0.25">
      <c r="A39" s="317"/>
      <c r="AL39" s="316"/>
    </row>
    <row r="40" spans="1:38" x14ac:dyDescent="0.25">
      <c r="A40" s="317"/>
      <c r="AL40" s="316"/>
    </row>
    <row r="41" spans="1:38" x14ac:dyDescent="0.25">
      <c r="A41" s="317"/>
      <c r="AL41" s="316"/>
    </row>
    <row r="42" spans="1:38" x14ac:dyDescent="0.25">
      <c r="A42" s="317"/>
      <c r="AL42" s="316"/>
    </row>
    <row r="43" spans="1:38" x14ac:dyDescent="0.25">
      <c r="A43" s="317"/>
      <c r="AL43" s="316"/>
    </row>
    <row r="44" spans="1:38" x14ac:dyDescent="0.25">
      <c r="A44" s="317"/>
    </row>
    <row r="45" spans="1:38" x14ac:dyDescent="0.25">
      <c r="A45" s="317"/>
    </row>
    <row r="46" spans="1:38" x14ac:dyDescent="0.25">
      <c r="A46" s="317"/>
    </row>
    <row r="47" spans="1:38" x14ac:dyDescent="0.25">
      <c r="A47" s="317"/>
    </row>
    <row r="48" spans="1:38" x14ac:dyDescent="0.25">
      <c r="A48" s="317"/>
    </row>
    <row r="49" spans="1:1" x14ac:dyDescent="0.25">
      <c r="A49" s="317"/>
    </row>
    <row r="50" spans="1:1" x14ac:dyDescent="0.25">
      <c r="A50" s="317"/>
    </row>
    <row r="51" spans="1:1" x14ac:dyDescent="0.25">
      <c r="A51" s="317"/>
    </row>
    <row r="52" spans="1:1" x14ac:dyDescent="0.25">
      <c r="A52" s="317"/>
    </row>
    <row r="53" spans="1:1" x14ac:dyDescent="0.25">
      <c r="A53" s="317"/>
    </row>
    <row r="54" spans="1:1" x14ac:dyDescent="0.25">
      <c r="A54" s="317"/>
    </row>
    <row r="55" spans="1:1" x14ac:dyDescent="0.25">
      <c r="A55" s="317"/>
    </row>
    <row r="56" spans="1:1" x14ac:dyDescent="0.25">
      <c r="A56" s="317"/>
    </row>
    <row r="57" spans="1:1" x14ac:dyDescent="0.25">
      <c r="A57" s="317"/>
    </row>
    <row r="58" spans="1:1" x14ac:dyDescent="0.25">
      <c r="A58" s="317"/>
    </row>
    <row r="59" spans="1:1" x14ac:dyDescent="0.25">
      <c r="A59" s="317"/>
    </row>
    <row r="60" spans="1:1" x14ac:dyDescent="0.25">
      <c r="A60" s="317"/>
    </row>
    <row r="61" spans="1:1" x14ac:dyDescent="0.25">
      <c r="A61" s="317"/>
    </row>
    <row r="62" spans="1:1" x14ac:dyDescent="0.25">
      <c r="A62" s="317"/>
    </row>
    <row r="63" spans="1:1" x14ac:dyDescent="0.25">
      <c r="A63" s="317"/>
    </row>
    <row r="64" spans="1:1" x14ac:dyDescent="0.25">
      <c r="A64" s="317"/>
    </row>
    <row r="65" spans="1:1" x14ac:dyDescent="0.25">
      <c r="A65" s="317"/>
    </row>
    <row r="66" spans="1:1" x14ac:dyDescent="0.25">
      <c r="A66" s="317"/>
    </row>
    <row r="67" spans="1:1" x14ac:dyDescent="0.25">
      <c r="A67" s="317"/>
    </row>
    <row r="68" spans="1:1" x14ac:dyDescent="0.25">
      <c r="A68" s="317"/>
    </row>
    <row r="69" spans="1:1" x14ac:dyDescent="0.25">
      <c r="A69" s="317"/>
    </row>
    <row r="70" spans="1:1" x14ac:dyDescent="0.25">
      <c r="A70" s="317"/>
    </row>
    <row r="71" spans="1:1" x14ac:dyDescent="0.25">
      <c r="A71" s="317"/>
    </row>
    <row r="72" spans="1:1" x14ac:dyDescent="0.25">
      <c r="A72" s="317"/>
    </row>
    <row r="73" spans="1:1" x14ac:dyDescent="0.25">
      <c r="A73" s="317"/>
    </row>
    <row r="74" spans="1:1" x14ac:dyDescent="0.25">
      <c r="A74" s="317"/>
    </row>
    <row r="75" spans="1:1" x14ac:dyDescent="0.25">
      <c r="A75" s="317"/>
    </row>
    <row r="76" spans="1:1" x14ac:dyDescent="0.25">
      <c r="A76" s="317"/>
    </row>
    <row r="77" spans="1:1" x14ac:dyDescent="0.25">
      <c r="A77" s="317"/>
    </row>
    <row r="80" spans="1:1" x14ac:dyDescent="0.25">
      <c r="A80" s="317"/>
    </row>
    <row r="81" spans="1:1" x14ac:dyDescent="0.25">
      <c r="A81" s="317"/>
    </row>
    <row r="82" spans="1:1" x14ac:dyDescent="0.25">
      <c r="A82" s="317"/>
    </row>
    <row r="83" spans="1:1" x14ac:dyDescent="0.25">
      <c r="A83" s="317"/>
    </row>
    <row r="84" spans="1:1" x14ac:dyDescent="0.25">
      <c r="A84" s="317"/>
    </row>
    <row r="85" spans="1:1" x14ac:dyDescent="0.25">
      <c r="A85" s="317"/>
    </row>
    <row r="86" spans="1:1" x14ac:dyDescent="0.25">
      <c r="A86" s="317"/>
    </row>
    <row r="87" spans="1:1" x14ac:dyDescent="0.25">
      <c r="A87" s="317"/>
    </row>
    <row r="88" spans="1:1" x14ac:dyDescent="0.25">
      <c r="A88" s="317"/>
    </row>
    <row r="89" spans="1:1" x14ac:dyDescent="0.25">
      <c r="A89" s="317"/>
    </row>
    <row r="90" spans="1:1" x14ac:dyDescent="0.25">
      <c r="A90" s="317"/>
    </row>
    <row r="91" spans="1:1" x14ac:dyDescent="0.25">
      <c r="A91" s="317"/>
    </row>
    <row r="92" spans="1:1" x14ac:dyDescent="0.25">
      <c r="A92" s="317"/>
    </row>
    <row r="93" spans="1:1" x14ac:dyDescent="0.25">
      <c r="A93" s="317"/>
    </row>
    <row r="94" spans="1:1" x14ac:dyDescent="0.25">
      <c r="A94" s="317"/>
    </row>
    <row r="95" spans="1:1" x14ac:dyDescent="0.25">
      <c r="A95" s="317"/>
    </row>
    <row r="96" spans="1:1" x14ac:dyDescent="0.25">
      <c r="A96" s="317"/>
    </row>
    <row r="97" spans="1:1" x14ac:dyDescent="0.25">
      <c r="A97" s="317"/>
    </row>
    <row r="98" spans="1:1" x14ac:dyDescent="0.25">
      <c r="A98" s="317"/>
    </row>
  </sheetData>
  <sheetProtection algorithmName="SHA-512" hashValue="Akg/fd/Ahj8sm7gHg70xD1JwQ6FGDRL3iSQMqX7bZs9e6se74hMXI7P92kiIXBJ6QsH1AoH6jKmZVEZIr1O0bQ==" saltValue="3CNaP78SRt+FcFJoNW1udw==" spinCount="100000" sheet="1" formatCells="0" formatColumns="0" formatRows="0" insertColumns="0" insertRows="0" insertHyperlinks="0" deleteColumns="0" deleteRows="0" sort="0" autoFilter="0" pivotTables="0"/>
  <mergeCells count="6">
    <mergeCell ref="D10:J11"/>
    <mergeCell ref="A1:AK1"/>
    <mergeCell ref="AU1:AY1"/>
    <mergeCell ref="D3:J4"/>
    <mergeCell ref="D5:J6"/>
    <mergeCell ref="D7:J8"/>
  </mergeCells>
  <hyperlinks>
    <hyperlink ref="AM1" location="Содержание!R1C1" display="← СОДЕРЖАНИЕ: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2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tabColor rgb="FF00B0F0"/>
  </sheetPr>
  <dimension ref="A1:J104"/>
  <sheetViews>
    <sheetView showGridLines="0" zoomScaleNormal="100" workbookViewId="0">
      <selection activeCell="J81" sqref="J81"/>
    </sheetView>
  </sheetViews>
  <sheetFormatPr defaultRowHeight="12.75" x14ac:dyDescent="0.2"/>
  <cols>
    <col min="1" max="1" width="28.7109375" customWidth="1"/>
    <col min="2" max="4" width="12.7109375" customWidth="1"/>
    <col min="5" max="5" width="12.7109375" style="6" customWidth="1"/>
    <col min="6" max="6" width="12.7109375" style="7" customWidth="1"/>
    <col min="7" max="7" width="12.7109375" style="5" customWidth="1"/>
    <col min="8" max="9" width="12.7109375" customWidth="1"/>
    <col min="10" max="10" width="18" customWidth="1"/>
    <col min="11" max="11" width="12.7109375" customWidth="1"/>
  </cols>
  <sheetData>
    <row r="1" spans="1:10" ht="42" thickBot="1" x14ac:dyDescent="0.25">
      <c r="A1" s="1403"/>
      <c r="B1" s="1404"/>
      <c r="C1" s="1404"/>
      <c r="D1" s="1404"/>
      <c r="E1" s="1404"/>
      <c r="F1" s="1404"/>
      <c r="G1" s="1404"/>
      <c r="H1" s="1404"/>
      <c r="I1" s="1405"/>
      <c r="J1" s="434" t="s">
        <v>544</v>
      </c>
    </row>
    <row r="2" spans="1:10" ht="13.5" thickBot="1" x14ac:dyDescent="0.25"/>
    <row r="3" spans="1:10" ht="12.95" customHeight="1" thickBot="1" x14ac:dyDescent="0.25">
      <c r="A3" s="1406" t="s">
        <v>265</v>
      </c>
      <c r="B3" s="1406" t="s">
        <v>264</v>
      </c>
      <c r="C3" s="1406"/>
      <c r="D3" s="1406" t="s">
        <v>264</v>
      </c>
      <c r="E3" s="1406"/>
      <c r="F3" s="1406" t="s">
        <v>264</v>
      </c>
      <c r="G3" s="1406"/>
      <c r="H3" s="1406" t="s">
        <v>264</v>
      </c>
      <c r="I3" s="1406"/>
    </row>
    <row r="4" spans="1:10" ht="12.95" customHeight="1" thickBot="1" x14ac:dyDescent="0.25">
      <c r="A4" s="1406"/>
      <c r="B4" s="45">
        <v>16</v>
      </c>
      <c r="C4" s="45">
        <v>18</v>
      </c>
      <c r="D4" s="45">
        <v>16</v>
      </c>
      <c r="E4" s="45">
        <v>18</v>
      </c>
      <c r="F4" s="45">
        <v>16</v>
      </c>
      <c r="G4" s="45">
        <v>18</v>
      </c>
      <c r="H4" s="45">
        <v>16</v>
      </c>
      <c r="I4" s="45">
        <v>18</v>
      </c>
    </row>
    <row r="5" spans="1:10" ht="39.950000000000003" customHeight="1" thickBot="1" x14ac:dyDescent="0.25">
      <c r="A5" s="1406"/>
      <c r="B5" s="1407" t="s">
        <v>268</v>
      </c>
      <c r="C5" s="1407"/>
      <c r="D5" s="1407" t="s">
        <v>270</v>
      </c>
      <c r="E5" s="1407"/>
      <c r="F5" s="1407" t="s">
        <v>271</v>
      </c>
      <c r="G5" s="1407"/>
      <c r="H5" s="1407" t="s">
        <v>269</v>
      </c>
      <c r="I5" s="1407"/>
    </row>
    <row r="6" spans="1:10" ht="15.95" customHeight="1" x14ac:dyDescent="0.2">
      <c r="A6" s="463">
        <v>360</v>
      </c>
      <c r="B6" s="57">
        <f>A6-($B$4*2)-91</f>
        <v>237</v>
      </c>
      <c r="C6" s="57">
        <f>A6-($C$4*2)-91</f>
        <v>233</v>
      </c>
      <c r="D6" s="57">
        <f>A6-($D$4*2)-132</f>
        <v>196</v>
      </c>
      <c r="E6" s="57">
        <f>A6-($E$4*2)-132</f>
        <v>192</v>
      </c>
      <c r="F6" s="57">
        <f>A6-($F$4*2)-122</f>
        <v>206</v>
      </c>
      <c r="G6" s="57">
        <f>A6-($G$4*2)-122</f>
        <v>202</v>
      </c>
      <c r="H6" s="68" t="s">
        <v>107</v>
      </c>
      <c r="I6" s="52" t="s">
        <v>107</v>
      </c>
    </row>
    <row r="7" spans="1:10" ht="15.95" customHeight="1" x14ac:dyDescent="0.2">
      <c r="A7" s="464">
        <v>350</v>
      </c>
      <c r="B7" s="49">
        <f t="shared" ref="B7:B14" si="0">A7-($B$4*2)-91</f>
        <v>227</v>
      </c>
      <c r="C7" s="49">
        <f t="shared" ref="C7:C14" si="1">A7-($C$4*2)-91</f>
        <v>223</v>
      </c>
      <c r="D7" s="49">
        <f t="shared" ref="D7:D14" si="2">A7-($D$4*2)-132</f>
        <v>186</v>
      </c>
      <c r="E7" s="49">
        <f t="shared" ref="E7:E14" si="3">A7-($E$4*2)-132</f>
        <v>182</v>
      </c>
      <c r="F7" s="49">
        <f t="shared" ref="F7:F14" si="4">A7-($F$4*2)-122</f>
        <v>196</v>
      </c>
      <c r="G7" s="49">
        <f t="shared" ref="G7:G14" si="5">A7-($G$4*2)-122</f>
        <v>192</v>
      </c>
      <c r="H7" s="69" t="s">
        <v>107</v>
      </c>
      <c r="I7" s="53" t="s">
        <v>107</v>
      </c>
    </row>
    <row r="8" spans="1:10" ht="15.95" customHeight="1" x14ac:dyDescent="0.2">
      <c r="A8" s="465">
        <v>400</v>
      </c>
      <c r="B8" s="50">
        <f t="shared" si="0"/>
        <v>277</v>
      </c>
      <c r="C8" s="50">
        <f t="shared" si="1"/>
        <v>273</v>
      </c>
      <c r="D8" s="50">
        <f t="shared" si="2"/>
        <v>236</v>
      </c>
      <c r="E8" s="50">
        <f t="shared" si="3"/>
        <v>232</v>
      </c>
      <c r="F8" s="50">
        <f t="shared" si="4"/>
        <v>246</v>
      </c>
      <c r="G8" s="50">
        <f t="shared" si="5"/>
        <v>242</v>
      </c>
      <c r="H8" s="69" t="s">
        <v>107</v>
      </c>
      <c r="I8" s="53" t="s">
        <v>107</v>
      </c>
    </row>
    <row r="9" spans="1:10" ht="15.95" customHeight="1" x14ac:dyDescent="0.2">
      <c r="A9" s="464">
        <v>450</v>
      </c>
      <c r="B9" s="49">
        <f t="shared" si="0"/>
        <v>327</v>
      </c>
      <c r="C9" s="49">
        <f t="shared" si="1"/>
        <v>323</v>
      </c>
      <c r="D9" s="49">
        <f t="shared" si="2"/>
        <v>286</v>
      </c>
      <c r="E9" s="49">
        <f t="shared" si="3"/>
        <v>282</v>
      </c>
      <c r="F9" s="49">
        <f t="shared" si="4"/>
        <v>296</v>
      </c>
      <c r="G9" s="49">
        <f t="shared" si="5"/>
        <v>292</v>
      </c>
      <c r="H9" s="46">
        <f t="shared" ref="H9:H14" si="6">A9-($H$4*2)-320</f>
        <v>98</v>
      </c>
      <c r="I9" s="54">
        <f t="shared" ref="I9:I14" si="7">A9-($I$4*2)-320</f>
        <v>94</v>
      </c>
    </row>
    <row r="10" spans="1:10" ht="15.95" customHeight="1" x14ac:dyDescent="0.2">
      <c r="A10" s="465">
        <v>500</v>
      </c>
      <c r="B10" s="50">
        <f t="shared" si="0"/>
        <v>377</v>
      </c>
      <c r="C10" s="50">
        <f t="shared" si="1"/>
        <v>373</v>
      </c>
      <c r="D10" s="50">
        <f t="shared" si="2"/>
        <v>336</v>
      </c>
      <c r="E10" s="50">
        <f t="shared" si="3"/>
        <v>332</v>
      </c>
      <c r="F10" s="50">
        <f t="shared" si="4"/>
        <v>346</v>
      </c>
      <c r="G10" s="50">
        <f t="shared" si="5"/>
        <v>342</v>
      </c>
      <c r="H10" s="47">
        <f t="shared" si="6"/>
        <v>148</v>
      </c>
      <c r="I10" s="55">
        <f t="shared" si="7"/>
        <v>144</v>
      </c>
    </row>
    <row r="11" spans="1:10" ht="15.95" customHeight="1" x14ac:dyDescent="0.2">
      <c r="A11" s="464">
        <v>550</v>
      </c>
      <c r="B11" s="49">
        <f t="shared" si="0"/>
        <v>427</v>
      </c>
      <c r="C11" s="49">
        <f t="shared" si="1"/>
        <v>423</v>
      </c>
      <c r="D11" s="49">
        <f t="shared" si="2"/>
        <v>386</v>
      </c>
      <c r="E11" s="49">
        <f t="shared" si="3"/>
        <v>382</v>
      </c>
      <c r="F11" s="49">
        <f t="shared" si="4"/>
        <v>396</v>
      </c>
      <c r="G11" s="49">
        <f t="shared" si="5"/>
        <v>392</v>
      </c>
      <c r="H11" s="46">
        <f t="shared" si="6"/>
        <v>198</v>
      </c>
      <c r="I11" s="54">
        <f t="shared" si="7"/>
        <v>194</v>
      </c>
    </row>
    <row r="12" spans="1:10" ht="15.95" customHeight="1" x14ac:dyDescent="0.2">
      <c r="A12" s="465">
        <v>600</v>
      </c>
      <c r="B12" s="50">
        <f t="shared" si="0"/>
        <v>477</v>
      </c>
      <c r="C12" s="50">
        <f t="shared" si="1"/>
        <v>473</v>
      </c>
      <c r="D12" s="50">
        <f t="shared" si="2"/>
        <v>436</v>
      </c>
      <c r="E12" s="50">
        <f t="shared" si="3"/>
        <v>432</v>
      </c>
      <c r="F12" s="50">
        <f t="shared" si="4"/>
        <v>446</v>
      </c>
      <c r="G12" s="50">
        <f t="shared" si="5"/>
        <v>442</v>
      </c>
      <c r="H12" s="47">
        <f t="shared" si="6"/>
        <v>248</v>
      </c>
      <c r="I12" s="55">
        <f t="shared" si="7"/>
        <v>244</v>
      </c>
    </row>
    <row r="13" spans="1:10" ht="15.95" customHeight="1" x14ac:dyDescent="0.2">
      <c r="A13" s="464">
        <v>650</v>
      </c>
      <c r="B13" s="49">
        <f t="shared" si="0"/>
        <v>527</v>
      </c>
      <c r="C13" s="49">
        <f t="shared" si="1"/>
        <v>523</v>
      </c>
      <c r="D13" s="49">
        <f t="shared" si="2"/>
        <v>486</v>
      </c>
      <c r="E13" s="49">
        <f t="shared" si="3"/>
        <v>482</v>
      </c>
      <c r="F13" s="49">
        <f t="shared" si="4"/>
        <v>496</v>
      </c>
      <c r="G13" s="49">
        <f t="shared" si="5"/>
        <v>492</v>
      </c>
      <c r="H13" s="46">
        <f t="shared" si="6"/>
        <v>298</v>
      </c>
      <c r="I13" s="54">
        <f t="shared" si="7"/>
        <v>294</v>
      </c>
    </row>
    <row r="14" spans="1:10" ht="15.95" customHeight="1" thickBot="1" x14ac:dyDescent="0.25">
      <c r="A14" s="466">
        <v>1200</v>
      </c>
      <c r="B14" s="51">
        <f t="shared" si="0"/>
        <v>1077</v>
      </c>
      <c r="C14" s="51">
        <f t="shared" si="1"/>
        <v>1073</v>
      </c>
      <c r="D14" s="51">
        <f t="shared" si="2"/>
        <v>1036</v>
      </c>
      <c r="E14" s="51">
        <f t="shared" si="3"/>
        <v>1032</v>
      </c>
      <c r="F14" s="51">
        <f t="shared" si="4"/>
        <v>1046</v>
      </c>
      <c r="G14" s="51">
        <f t="shared" si="5"/>
        <v>1042</v>
      </c>
      <c r="H14" s="48">
        <f t="shared" si="6"/>
        <v>848</v>
      </c>
      <c r="I14" s="56">
        <f t="shared" si="7"/>
        <v>844</v>
      </c>
    </row>
    <row r="16" spans="1:10" ht="13.5" thickBot="1" x14ac:dyDescent="0.25"/>
    <row r="17" spans="1:9" ht="13.5" thickBot="1" x14ac:dyDescent="0.25">
      <c r="A17" s="72" t="s">
        <v>285</v>
      </c>
      <c r="B17" s="72" t="s">
        <v>275</v>
      </c>
      <c r="C17" s="72" t="s">
        <v>278</v>
      </c>
      <c r="D17" s="72" t="s">
        <v>276</v>
      </c>
      <c r="E17" s="1402"/>
      <c r="F17" s="1402"/>
      <c r="G17" s="1402"/>
      <c r="H17" s="1402"/>
      <c r="I17" s="1402"/>
    </row>
    <row r="18" spans="1:9" x14ac:dyDescent="0.2">
      <c r="A18" s="77" t="s">
        <v>273</v>
      </c>
      <c r="B18" s="78">
        <f>$B$23-60</f>
        <v>390</v>
      </c>
      <c r="C18" s="78">
        <v>100</v>
      </c>
      <c r="D18" s="78">
        <v>8</v>
      </c>
      <c r="E18" s="1402"/>
      <c r="F18" s="1402"/>
      <c r="G18" s="1402"/>
      <c r="H18" s="1402"/>
      <c r="I18" s="1402"/>
    </row>
    <row r="19" spans="1:9" ht="13.5" thickBot="1" x14ac:dyDescent="0.25">
      <c r="A19" s="75" t="s">
        <v>274</v>
      </c>
      <c r="B19" s="76">
        <f>$B$22-($B$24*2)-118</f>
        <v>446</v>
      </c>
      <c r="C19" s="76">
        <v>100</v>
      </c>
      <c r="D19" s="76">
        <v>8</v>
      </c>
      <c r="E19" s="1402"/>
      <c r="F19" s="1402"/>
      <c r="G19" s="1402"/>
      <c r="H19" s="1402"/>
      <c r="I19" s="1402"/>
    </row>
    <row r="20" spans="1:9" x14ac:dyDescent="0.2">
      <c r="E20" s="1402"/>
      <c r="F20" s="1402"/>
      <c r="G20" s="1402"/>
      <c r="H20" s="1402"/>
      <c r="I20" s="1402"/>
    </row>
    <row r="21" spans="1:9" ht="13.5" thickBot="1" x14ac:dyDescent="0.25">
      <c r="E21" s="1402"/>
      <c r="F21" s="1402"/>
      <c r="G21" s="1402"/>
      <c r="H21" s="1402"/>
      <c r="I21" s="1402"/>
    </row>
    <row r="22" spans="1:9" x14ac:dyDescent="0.2">
      <c r="A22" s="62" t="s">
        <v>265</v>
      </c>
      <c r="B22" s="467">
        <v>600</v>
      </c>
      <c r="E22" s="1402"/>
      <c r="F22" s="1402"/>
      <c r="G22" s="1402"/>
      <c r="H22" s="1402"/>
      <c r="I22" s="1402"/>
    </row>
    <row r="23" spans="1:9" x14ac:dyDescent="0.2">
      <c r="A23" s="61" t="s">
        <v>277</v>
      </c>
      <c r="B23" s="468">
        <v>450</v>
      </c>
      <c r="E23" s="1402"/>
      <c r="F23" s="1402"/>
      <c r="G23" s="1402"/>
      <c r="H23" s="1402"/>
      <c r="I23" s="1402"/>
    </row>
    <row r="24" spans="1:9" ht="13.5" thickBot="1" x14ac:dyDescent="0.25">
      <c r="A24" s="60" t="s">
        <v>279</v>
      </c>
      <c r="B24" s="469">
        <v>18</v>
      </c>
      <c r="E24" s="1402"/>
      <c r="F24" s="1402"/>
      <c r="G24" s="1402"/>
      <c r="H24" s="1402"/>
      <c r="I24" s="1402"/>
    </row>
    <row r="25" spans="1:9" x14ac:dyDescent="0.2">
      <c r="E25" s="1402"/>
      <c r="F25" s="1402"/>
      <c r="G25" s="1402"/>
      <c r="H25" s="1402"/>
      <c r="I25" s="1402"/>
    </row>
    <row r="26" spans="1:9" x14ac:dyDescent="0.2">
      <c r="E26" s="1402"/>
      <c r="F26" s="1402"/>
      <c r="G26" s="1402"/>
      <c r="H26" s="1402"/>
      <c r="I26" s="1402"/>
    </row>
    <row r="27" spans="1:9" x14ac:dyDescent="0.2">
      <c r="E27" s="1402"/>
      <c r="F27" s="1402"/>
      <c r="G27" s="1402"/>
      <c r="H27" s="1402"/>
      <c r="I27" s="1402"/>
    </row>
    <row r="28" spans="1:9" x14ac:dyDescent="0.2">
      <c r="E28" s="1402"/>
      <c r="F28" s="1402"/>
      <c r="G28" s="1402"/>
      <c r="H28" s="1402"/>
      <c r="I28" s="1402"/>
    </row>
    <row r="29" spans="1:9" x14ac:dyDescent="0.2">
      <c r="E29" s="1402"/>
      <c r="F29" s="1402"/>
      <c r="G29" s="1402"/>
      <c r="H29" s="1402"/>
      <c r="I29" s="1402"/>
    </row>
    <row r="30" spans="1:9" ht="13.5" thickBot="1" x14ac:dyDescent="0.25">
      <c r="E30" s="1402"/>
      <c r="F30" s="1402"/>
      <c r="G30" s="1402"/>
      <c r="H30" s="1402"/>
      <c r="I30" s="1402"/>
    </row>
    <row r="31" spans="1:9" ht="42" thickBot="1" x14ac:dyDescent="0.25">
      <c r="A31" s="1403"/>
      <c r="B31" s="1404"/>
      <c r="C31" s="1404"/>
      <c r="D31" s="1404"/>
      <c r="E31" s="1404"/>
      <c r="F31" s="1404"/>
      <c r="G31" s="1404"/>
      <c r="H31" s="1404"/>
      <c r="I31" s="1405"/>
    </row>
    <row r="32" spans="1:9" ht="13.5" thickBot="1" x14ac:dyDescent="0.25"/>
    <row r="33" spans="1:9" ht="13.5" thickBot="1" x14ac:dyDescent="0.25">
      <c r="A33" s="1406" t="s">
        <v>265</v>
      </c>
      <c r="B33" s="1406" t="s">
        <v>264</v>
      </c>
      <c r="C33" s="1406"/>
      <c r="D33" s="1406" t="s">
        <v>264</v>
      </c>
      <c r="E33" s="1406"/>
      <c r="F33" s="1406" t="s">
        <v>264</v>
      </c>
      <c r="G33" s="1406"/>
      <c r="H33" s="1406" t="s">
        <v>264</v>
      </c>
      <c r="I33" s="1406"/>
    </row>
    <row r="34" spans="1:9" ht="13.5" thickBot="1" x14ac:dyDescent="0.25">
      <c r="A34" s="1406"/>
      <c r="B34" s="45">
        <v>16</v>
      </c>
      <c r="C34" s="45">
        <v>18</v>
      </c>
      <c r="D34" s="45">
        <v>16</v>
      </c>
      <c r="E34" s="45">
        <v>18</v>
      </c>
      <c r="F34" s="45">
        <v>16</v>
      </c>
      <c r="G34" s="45">
        <v>18</v>
      </c>
      <c r="H34" s="45">
        <v>16</v>
      </c>
      <c r="I34" s="45">
        <v>18</v>
      </c>
    </row>
    <row r="35" spans="1:9" ht="37.5" customHeight="1" thickBot="1" x14ac:dyDescent="0.25">
      <c r="A35" s="1406"/>
      <c r="B35" s="1407" t="s">
        <v>280</v>
      </c>
      <c r="C35" s="1407"/>
      <c r="D35" s="1407" t="s">
        <v>270</v>
      </c>
      <c r="E35" s="1407"/>
      <c r="F35" s="1407" t="s">
        <v>271</v>
      </c>
      <c r="G35" s="1407"/>
      <c r="H35" s="1407" t="s">
        <v>269</v>
      </c>
      <c r="I35" s="1407"/>
    </row>
    <row r="36" spans="1:9" x14ac:dyDescent="0.2">
      <c r="A36" s="64">
        <v>300</v>
      </c>
      <c r="B36" s="57">
        <f>A36-($B$4*2)-63</f>
        <v>205</v>
      </c>
      <c r="C36" s="57">
        <f>A36-($C$4*2)-63</f>
        <v>201</v>
      </c>
      <c r="D36" s="57">
        <f>A36-($D$4*2)-132</f>
        <v>136</v>
      </c>
      <c r="E36" s="57">
        <f>A36-($E$4*2)-132</f>
        <v>132</v>
      </c>
      <c r="F36" s="57">
        <f>A36-($F$4*2)-122</f>
        <v>146</v>
      </c>
      <c r="G36" s="57">
        <f>A36-($G$4*2)-122</f>
        <v>142</v>
      </c>
      <c r="H36" s="68" t="s">
        <v>107</v>
      </c>
      <c r="I36" s="52" t="s">
        <v>107</v>
      </c>
    </row>
    <row r="37" spans="1:9" x14ac:dyDescent="0.2">
      <c r="A37" s="65">
        <v>350</v>
      </c>
      <c r="B37" s="58">
        <f t="shared" ref="B37:B43" si="8">A37-($B$4*2)-63</f>
        <v>255</v>
      </c>
      <c r="C37" s="58">
        <f t="shared" ref="C37:C44" si="9">A37-($C$4*2)-63</f>
        <v>251</v>
      </c>
      <c r="D37" s="49">
        <f t="shared" ref="D37:D44" si="10">A37-($D$4*2)-132</f>
        <v>186</v>
      </c>
      <c r="E37" s="49">
        <f t="shared" ref="E37:E44" si="11">A37-($E$4*2)-132</f>
        <v>182</v>
      </c>
      <c r="F37" s="49">
        <f t="shared" ref="F37:F44" si="12">A37-($F$4*2)-122</f>
        <v>196</v>
      </c>
      <c r="G37" s="49">
        <f t="shared" ref="G37:G44" si="13">A37-($G$4*2)-122</f>
        <v>192</v>
      </c>
      <c r="H37" s="69" t="s">
        <v>107</v>
      </c>
      <c r="I37" s="53" t="s">
        <v>107</v>
      </c>
    </row>
    <row r="38" spans="1:9" x14ac:dyDescent="0.2">
      <c r="A38" s="66">
        <v>400</v>
      </c>
      <c r="B38" s="57">
        <f t="shared" si="8"/>
        <v>305</v>
      </c>
      <c r="C38" s="57">
        <f t="shared" si="9"/>
        <v>301</v>
      </c>
      <c r="D38" s="50">
        <f t="shared" si="10"/>
        <v>236</v>
      </c>
      <c r="E38" s="50">
        <f t="shared" si="11"/>
        <v>232</v>
      </c>
      <c r="F38" s="50">
        <f t="shared" si="12"/>
        <v>246</v>
      </c>
      <c r="G38" s="50">
        <f t="shared" si="13"/>
        <v>242</v>
      </c>
      <c r="H38" s="69" t="s">
        <v>107</v>
      </c>
      <c r="I38" s="53" t="s">
        <v>107</v>
      </c>
    </row>
    <row r="39" spans="1:9" x14ac:dyDescent="0.2">
      <c r="A39" s="65">
        <v>450</v>
      </c>
      <c r="B39" s="58">
        <f t="shared" si="8"/>
        <v>355</v>
      </c>
      <c r="C39" s="58">
        <f t="shared" si="9"/>
        <v>351</v>
      </c>
      <c r="D39" s="49">
        <f t="shared" si="10"/>
        <v>286</v>
      </c>
      <c r="E39" s="49">
        <f t="shared" si="11"/>
        <v>282</v>
      </c>
      <c r="F39" s="49">
        <f t="shared" si="12"/>
        <v>296</v>
      </c>
      <c r="G39" s="49">
        <f t="shared" si="13"/>
        <v>292</v>
      </c>
      <c r="H39" s="46">
        <f t="shared" ref="H39:H44" si="14">A39-($H$4*2)-320</f>
        <v>98</v>
      </c>
      <c r="I39" s="54">
        <f t="shared" ref="I39:I44" si="15">A39-($I$4*2)-320</f>
        <v>94</v>
      </c>
    </row>
    <row r="40" spans="1:9" x14ac:dyDescent="0.2">
      <c r="A40" s="66">
        <v>500</v>
      </c>
      <c r="B40" s="57">
        <f t="shared" si="8"/>
        <v>405</v>
      </c>
      <c r="C40" s="57">
        <f t="shared" si="9"/>
        <v>401</v>
      </c>
      <c r="D40" s="50">
        <f t="shared" si="10"/>
        <v>336</v>
      </c>
      <c r="E40" s="50">
        <f t="shared" si="11"/>
        <v>332</v>
      </c>
      <c r="F40" s="50">
        <f t="shared" si="12"/>
        <v>346</v>
      </c>
      <c r="G40" s="50">
        <f t="shared" si="13"/>
        <v>342</v>
      </c>
      <c r="H40" s="47">
        <f t="shared" si="14"/>
        <v>148</v>
      </c>
      <c r="I40" s="55">
        <f t="shared" si="15"/>
        <v>144</v>
      </c>
    </row>
    <row r="41" spans="1:9" x14ac:dyDescent="0.2">
      <c r="A41" s="65">
        <v>550</v>
      </c>
      <c r="B41" s="58">
        <f t="shared" si="8"/>
        <v>455</v>
      </c>
      <c r="C41" s="58">
        <f t="shared" si="9"/>
        <v>451</v>
      </c>
      <c r="D41" s="49">
        <f t="shared" si="10"/>
        <v>386</v>
      </c>
      <c r="E41" s="49">
        <f t="shared" si="11"/>
        <v>382</v>
      </c>
      <c r="F41" s="49">
        <f t="shared" si="12"/>
        <v>396</v>
      </c>
      <c r="G41" s="49">
        <f t="shared" si="13"/>
        <v>392</v>
      </c>
      <c r="H41" s="46">
        <f t="shared" si="14"/>
        <v>198</v>
      </c>
      <c r="I41" s="54">
        <f t="shared" si="15"/>
        <v>194</v>
      </c>
    </row>
    <row r="42" spans="1:9" x14ac:dyDescent="0.2">
      <c r="A42" s="66">
        <v>600</v>
      </c>
      <c r="B42" s="57">
        <f t="shared" si="8"/>
        <v>505</v>
      </c>
      <c r="C42" s="57">
        <f t="shared" si="9"/>
        <v>501</v>
      </c>
      <c r="D42" s="50">
        <f t="shared" si="10"/>
        <v>436</v>
      </c>
      <c r="E42" s="50">
        <f t="shared" si="11"/>
        <v>432</v>
      </c>
      <c r="F42" s="50">
        <f t="shared" si="12"/>
        <v>446</v>
      </c>
      <c r="G42" s="50">
        <f t="shared" si="13"/>
        <v>442</v>
      </c>
      <c r="H42" s="47">
        <f t="shared" si="14"/>
        <v>248</v>
      </c>
      <c r="I42" s="55">
        <f t="shared" si="15"/>
        <v>244</v>
      </c>
    </row>
    <row r="43" spans="1:9" x14ac:dyDescent="0.2">
      <c r="A43" s="65">
        <v>650</v>
      </c>
      <c r="B43" s="58">
        <f t="shared" si="8"/>
        <v>555</v>
      </c>
      <c r="C43" s="58">
        <f t="shared" si="9"/>
        <v>551</v>
      </c>
      <c r="D43" s="49">
        <f t="shared" si="10"/>
        <v>486</v>
      </c>
      <c r="E43" s="49">
        <f t="shared" si="11"/>
        <v>482</v>
      </c>
      <c r="F43" s="49">
        <f t="shared" si="12"/>
        <v>496</v>
      </c>
      <c r="G43" s="49">
        <f t="shared" si="13"/>
        <v>492</v>
      </c>
      <c r="H43" s="46">
        <f t="shared" si="14"/>
        <v>298</v>
      </c>
      <c r="I43" s="54">
        <f t="shared" si="15"/>
        <v>294</v>
      </c>
    </row>
    <row r="44" spans="1:9" ht="13.5" thickBot="1" x14ac:dyDescent="0.25">
      <c r="A44" s="67">
        <v>1200</v>
      </c>
      <c r="B44" s="57">
        <f>A44-($B$4*2)-64</f>
        <v>1104</v>
      </c>
      <c r="C44" s="57">
        <f t="shared" si="9"/>
        <v>1101</v>
      </c>
      <c r="D44" s="51">
        <f t="shared" si="10"/>
        <v>1036</v>
      </c>
      <c r="E44" s="51">
        <f t="shared" si="11"/>
        <v>1032</v>
      </c>
      <c r="F44" s="51">
        <f t="shared" si="12"/>
        <v>1046</v>
      </c>
      <c r="G44" s="51">
        <f t="shared" si="13"/>
        <v>1042</v>
      </c>
      <c r="H44" s="48">
        <f t="shared" si="14"/>
        <v>848</v>
      </c>
      <c r="I44" s="56">
        <f t="shared" si="15"/>
        <v>844</v>
      </c>
    </row>
    <row r="46" spans="1:9" ht="13.5" thickBot="1" x14ac:dyDescent="0.25"/>
    <row r="47" spans="1:9" ht="13.5" thickBot="1" x14ac:dyDescent="0.25">
      <c r="A47" s="72" t="s">
        <v>285</v>
      </c>
      <c r="B47" s="72" t="s">
        <v>275</v>
      </c>
      <c r="C47" s="72" t="s">
        <v>278</v>
      </c>
      <c r="D47" s="72" t="s">
        <v>276</v>
      </c>
      <c r="E47" s="1402"/>
      <c r="F47" s="1402"/>
      <c r="G47" s="1402"/>
      <c r="H47" s="1402"/>
      <c r="I47" s="1402"/>
    </row>
    <row r="48" spans="1:9" x14ac:dyDescent="0.2">
      <c r="A48" s="77" t="s">
        <v>282</v>
      </c>
      <c r="B48" s="78">
        <f>$B$22-33</f>
        <v>567</v>
      </c>
      <c r="C48" s="79" t="s">
        <v>283</v>
      </c>
      <c r="D48" s="78">
        <v>8</v>
      </c>
      <c r="E48" s="1402"/>
      <c r="F48" s="1402"/>
      <c r="G48" s="1402"/>
      <c r="H48" s="1402"/>
      <c r="I48" s="1402"/>
    </row>
    <row r="49" spans="1:9" ht="13.5" thickBot="1" x14ac:dyDescent="0.25">
      <c r="A49" s="75" t="s">
        <v>281</v>
      </c>
      <c r="B49" s="81">
        <f>$B$22-33</f>
        <v>567</v>
      </c>
      <c r="C49" s="80" t="s">
        <v>284</v>
      </c>
      <c r="D49" s="76">
        <v>8</v>
      </c>
      <c r="E49" s="1402"/>
      <c r="F49" s="1402"/>
      <c r="G49" s="1402"/>
      <c r="H49" s="1402"/>
      <c r="I49" s="1402"/>
    </row>
    <row r="50" spans="1:9" x14ac:dyDescent="0.2">
      <c r="E50" s="1402"/>
      <c r="F50" s="1402"/>
      <c r="G50" s="1402"/>
      <c r="H50" s="1402"/>
      <c r="I50" s="1402"/>
    </row>
    <row r="51" spans="1:9" ht="13.5" thickBot="1" x14ac:dyDescent="0.25">
      <c r="E51" s="1402"/>
      <c r="F51" s="1402"/>
      <c r="G51" s="1402"/>
      <c r="H51" s="1402"/>
      <c r="I51" s="1402"/>
    </row>
    <row r="52" spans="1:9" ht="13.5" thickBot="1" x14ac:dyDescent="0.25">
      <c r="A52" s="82" t="s">
        <v>277</v>
      </c>
      <c r="B52" s="59">
        <v>500</v>
      </c>
      <c r="E52" s="1402"/>
      <c r="F52" s="1402"/>
      <c r="G52" s="1402"/>
      <c r="H52" s="1402"/>
      <c r="I52" s="1402"/>
    </row>
    <row r="53" spans="1:9" x14ac:dyDescent="0.2">
      <c r="E53" s="1402"/>
      <c r="F53" s="1402"/>
      <c r="G53" s="1402"/>
      <c r="H53" s="1402"/>
      <c r="I53" s="1402"/>
    </row>
    <row r="54" spans="1:9" x14ac:dyDescent="0.2">
      <c r="E54" s="1402"/>
      <c r="F54" s="1402"/>
      <c r="G54" s="1402"/>
      <c r="H54" s="1402"/>
      <c r="I54" s="1402"/>
    </row>
    <row r="55" spans="1:9" x14ac:dyDescent="0.2">
      <c r="E55" s="1402"/>
      <c r="F55" s="1402"/>
      <c r="G55" s="1402"/>
      <c r="H55" s="1402"/>
      <c r="I55" s="1402"/>
    </row>
    <row r="56" spans="1:9" x14ac:dyDescent="0.2">
      <c r="E56" s="1402"/>
      <c r="F56" s="1402"/>
      <c r="G56" s="1402"/>
      <c r="H56" s="1402"/>
      <c r="I56" s="1402"/>
    </row>
    <row r="57" spans="1:9" x14ac:dyDescent="0.2">
      <c r="E57" s="1402"/>
      <c r="F57" s="1402"/>
      <c r="G57" s="1402"/>
      <c r="H57" s="1402"/>
      <c r="I57" s="1402"/>
    </row>
    <row r="58" spans="1:9" x14ac:dyDescent="0.2">
      <c r="E58" s="1402"/>
      <c r="F58" s="1402"/>
      <c r="G58" s="1402"/>
      <c r="H58" s="1402"/>
      <c r="I58" s="1402"/>
    </row>
    <row r="59" spans="1:9" x14ac:dyDescent="0.2">
      <c r="E59" s="1402"/>
      <c r="F59" s="1402"/>
      <c r="G59" s="1402"/>
      <c r="H59" s="1402"/>
      <c r="I59" s="1402"/>
    </row>
    <row r="60" spans="1:9" x14ac:dyDescent="0.2">
      <c r="E60" s="1402"/>
      <c r="F60" s="1402"/>
      <c r="G60" s="1402"/>
      <c r="H60" s="1402"/>
      <c r="I60" s="1402"/>
    </row>
    <row r="61" spans="1:9" x14ac:dyDescent="0.2">
      <c r="E61" s="1402"/>
      <c r="F61" s="1402"/>
      <c r="G61" s="1402"/>
      <c r="H61" s="1402"/>
      <c r="I61" s="1402"/>
    </row>
    <row r="62" spans="1:9" x14ac:dyDescent="0.2">
      <c r="E62" s="1402"/>
      <c r="F62" s="1402"/>
      <c r="G62" s="1402"/>
      <c r="H62" s="1402"/>
      <c r="I62" s="1402"/>
    </row>
    <row r="63" spans="1:9" x14ac:dyDescent="0.2">
      <c r="E63" s="1402"/>
      <c r="F63" s="1402"/>
      <c r="G63" s="1402"/>
      <c r="H63" s="1402"/>
      <c r="I63" s="1402"/>
    </row>
    <row r="64" spans="1:9" x14ac:dyDescent="0.2">
      <c r="E64" s="1402"/>
      <c r="F64" s="1402"/>
      <c r="G64" s="1402"/>
      <c r="H64" s="1402"/>
      <c r="I64" s="1402"/>
    </row>
    <row r="65" spans="1:9" x14ac:dyDescent="0.2">
      <c r="E65" s="1402"/>
      <c r="F65" s="1402"/>
      <c r="G65" s="1402"/>
      <c r="H65" s="1402"/>
      <c r="I65" s="1402"/>
    </row>
    <row r="66" spans="1:9" x14ac:dyDescent="0.2">
      <c r="E66" s="1402"/>
      <c r="F66" s="1402"/>
      <c r="G66" s="1402"/>
      <c r="H66" s="1402"/>
      <c r="I66" s="1402"/>
    </row>
    <row r="67" spans="1:9" x14ac:dyDescent="0.2">
      <c r="E67" s="1402"/>
      <c r="F67" s="1402"/>
      <c r="G67" s="1402"/>
      <c r="H67" s="1402"/>
      <c r="I67" s="1402"/>
    </row>
    <row r="68" spans="1:9" x14ac:dyDescent="0.2">
      <c r="E68" s="1402"/>
      <c r="F68" s="1402"/>
      <c r="G68" s="1402"/>
      <c r="H68" s="1402"/>
      <c r="I68" s="1402"/>
    </row>
    <row r="69" spans="1:9" x14ac:dyDescent="0.2">
      <c r="E69" s="1402"/>
      <c r="F69" s="1402"/>
      <c r="G69" s="1402"/>
      <c r="H69" s="1402"/>
      <c r="I69" s="1402"/>
    </row>
    <row r="70" spans="1:9" x14ac:dyDescent="0.2">
      <c r="E70" s="1402"/>
      <c r="F70" s="1402"/>
      <c r="G70" s="1402"/>
      <c r="H70" s="1402"/>
      <c r="I70" s="1402"/>
    </row>
    <row r="71" spans="1:9" x14ac:dyDescent="0.2">
      <c r="E71" s="1402"/>
      <c r="F71" s="1402"/>
      <c r="G71" s="1402"/>
      <c r="H71" s="1402"/>
      <c r="I71" s="1402"/>
    </row>
    <row r="72" spans="1:9" x14ac:dyDescent="0.2">
      <c r="E72" s="1402"/>
      <c r="F72" s="1402"/>
      <c r="G72" s="1402"/>
      <c r="H72" s="1402"/>
      <c r="I72" s="1402"/>
    </row>
    <row r="73" spans="1:9" x14ac:dyDescent="0.2">
      <c r="E73" s="1402"/>
      <c r="F73" s="1402"/>
      <c r="G73" s="1402"/>
      <c r="H73" s="1402"/>
      <c r="I73" s="1402"/>
    </row>
    <row r="74" spans="1:9" ht="13.5" thickBot="1" x14ac:dyDescent="0.25">
      <c r="E74" s="1402"/>
      <c r="F74" s="1402"/>
      <c r="G74" s="1402"/>
      <c r="H74" s="1402"/>
      <c r="I74" s="1402"/>
    </row>
    <row r="75" spans="1:9" ht="42" thickBot="1" x14ac:dyDescent="0.25">
      <c r="A75" s="1403"/>
      <c r="B75" s="1404"/>
      <c r="C75" s="1404"/>
      <c r="D75" s="1404"/>
      <c r="E75" s="1404"/>
      <c r="F75" s="1404"/>
      <c r="G75" s="1404"/>
      <c r="H75" s="1404"/>
      <c r="I75" s="1405"/>
    </row>
    <row r="76" spans="1:9" ht="13.5" thickBot="1" x14ac:dyDescent="0.25">
      <c r="A76" s="19"/>
      <c r="B76" s="19"/>
      <c r="C76" s="19"/>
      <c r="D76" s="19"/>
      <c r="E76" s="20"/>
      <c r="F76" s="21"/>
      <c r="G76" s="22"/>
    </row>
    <row r="77" spans="1:9" ht="13.5" thickBot="1" x14ac:dyDescent="0.25">
      <c r="A77" s="1406" t="s">
        <v>265</v>
      </c>
      <c r="B77" s="1406" t="s">
        <v>264</v>
      </c>
      <c r="C77" s="1406"/>
      <c r="D77" s="1406" t="s">
        <v>264</v>
      </c>
      <c r="E77" s="1406"/>
      <c r="F77" s="1406" t="s">
        <v>264</v>
      </c>
      <c r="G77" s="1406"/>
      <c r="H77" s="1406" t="s">
        <v>264</v>
      </c>
      <c r="I77" s="1406"/>
    </row>
    <row r="78" spans="1:9" ht="13.5" thickBot="1" x14ac:dyDescent="0.25">
      <c r="A78" s="1406"/>
      <c r="B78" s="45">
        <v>16</v>
      </c>
      <c r="C78" s="45">
        <v>18</v>
      </c>
      <c r="D78" s="45">
        <v>16</v>
      </c>
      <c r="E78" s="45">
        <v>18</v>
      </c>
      <c r="F78" s="45">
        <v>16</v>
      </c>
      <c r="G78" s="45">
        <v>18</v>
      </c>
      <c r="H78" s="45">
        <v>16</v>
      </c>
      <c r="I78" s="45">
        <v>18</v>
      </c>
    </row>
    <row r="79" spans="1:9" ht="36.75" customHeight="1" thickBot="1" x14ac:dyDescent="0.25">
      <c r="A79" s="1406"/>
      <c r="B79" s="1407" t="s">
        <v>268</v>
      </c>
      <c r="C79" s="1407"/>
      <c r="D79" s="1407" t="s">
        <v>267</v>
      </c>
      <c r="E79" s="1407"/>
      <c r="F79" s="1407" t="s">
        <v>266</v>
      </c>
      <c r="G79" s="1407"/>
      <c r="H79" s="1407" t="s">
        <v>269</v>
      </c>
      <c r="I79" s="1407"/>
    </row>
    <row r="80" spans="1:9" x14ac:dyDescent="0.2">
      <c r="A80" s="470">
        <v>300</v>
      </c>
      <c r="B80" s="226">
        <v>177</v>
      </c>
      <c r="C80" s="227">
        <v>173</v>
      </c>
      <c r="D80" s="226">
        <v>181</v>
      </c>
      <c r="E80" s="228">
        <v>177</v>
      </c>
      <c r="F80" s="229">
        <v>200</v>
      </c>
      <c r="G80" s="226">
        <v>196</v>
      </c>
      <c r="H80" s="230" t="s">
        <v>107</v>
      </c>
      <c r="I80" s="230" t="s">
        <v>107</v>
      </c>
    </row>
    <row r="81" spans="1:9" x14ac:dyDescent="0.2">
      <c r="A81" s="471">
        <v>350</v>
      </c>
      <c r="B81" s="231">
        <v>227</v>
      </c>
      <c r="C81" s="232">
        <v>223</v>
      </c>
      <c r="D81" s="231">
        <v>231</v>
      </c>
      <c r="E81" s="233">
        <v>227</v>
      </c>
      <c r="F81" s="232">
        <v>250</v>
      </c>
      <c r="G81" s="231">
        <v>246</v>
      </c>
      <c r="H81" s="234" t="s">
        <v>107</v>
      </c>
      <c r="I81" s="234" t="s">
        <v>107</v>
      </c>
    </row>
    <row r="82" spans="1:9" x14ac:dyDescent="0.2">
      <c r="A82" s="472">
        <v>400</v>
      </c>
      <c r="B82" s="235">
        <v>277</v>
      </c>
      <c r="C82" s="236">
        <v>273</v>
      </c>
      <c r="D82" s="235">
        <v>281</v>
      </c>
      <c r="E82" s="237">
        <v>277</v>
      </c>
      <c r="F82" s="236">
        <v>300</v>
      </c>
      <c r="G82" s="235">
        <v>296</v>
      </c>
      <c r="H82" s="234" t="s">
        <v>107</v>
      </c>
      <c r="I82" s="234" t="s">
        <v>107</v>
      </c>
    </row>
    <row r="83" spans="1:9" x14ac:dyDescent="0.2">
      <c r="A83" s="471">
        <v>450</v>
      </c>
      <c r="B83" s="231">
        <v>327</v>
      </c>
      <c r="C83" s="232">
        <v>323</v>
      </c>
      <c r="D83" s="231">
        <v>331</v>
      </c>
      <c r="E83" s="233">
        <v>327</v>
      </c>
      <c r="F83" s="232">
        <v>350</v>
      </c>
      <c r="G83" s="231">
        <v>346</v>
      </c>
      <c r="H83" s="238">
        <v>98</v>
      </c>
      <c r="I83" s="238">
        <v>94</v>
      </c>
    </row>
    <row r="84" spans="1:9" x14ac:dyDescent="0.2">
      <c r="A84" s="472">
        <v>500</v>
      </c>
      <c r="B84" s="235">
        <v>377</v>
      </c>
      <c r="C84" s="236">
        <v>373</v>
      </c>
      <c r="D84" s="235">
        <v>381</v>
      </c>
      <c r="E84" s="237">
        <v>377</v>
      </c>
      <c r="F84" s="236">
        <v>400</v>
      </c>
      <c r="G84" s="235">
        <v>396</v>
      </c>
      <c r="H84" s="239">
        <v>148</v>
      </c>
      <c r="I84" s="239">
        <v>144</v>
      </c>
    </row>
    <row r="85" spans="1:9" x14ac:dyDescent="0.2">
      <c r="A85" s="471">
        <v>550</v>
      </c>
      <c r="B85" s="231">
        <v>427</v>
      </c>
      <c r="C85" s="232">
        <v>423</v>
      </c>
      <c r="D85" s="231">
        <v>431</v>
      </c>
      <c r="E85" s="233">
        <v>427</v>
      </c>
      <c r="F85" s="232">
        <v>450</v>
      </c>
      <c r="G85" s="231">
        <v>446</v>
      </c>
      <c r="H85" s="238">
        <v>198</v>
      </c>
      <c r="I85" s="238">
        <v>194</v>
      </c>
    </row>
    <row r="86" spans="1:9" x14ac:dyDescent="0.2">
      <c r="A86" s="472">
        <v>600</v>
      </c>
      <c r="B86" s="235">
        <v>477</v>
      </c>
      <c r="C86" s="236">
        <v>473</v>
      </c>
      <c r="D86" s="235">
        <v>481</v>
      </c>
      <c r="E86" s="237">
        <v>477</v>
      </c>
      <c r="F86" s="236">
        <v>500</v>
      </c>
      <c r="G86" s="235">
        <v>496</v>
      </c>
      <c r="H86" s="239">
        <v>248</v>
      </c>
      <c r="I86" s="239">
        <v>244</v>
      </c>
    </row>
    <row r="87" spans="1:9" x14ac:dyDescent="0.2">
      <c r="A87" s="471">
        <v>650</v>
      </c>
      <c r="B87" s="231">
        <v>527</v>
      </c>
      <c r="C87" s="232">
        <v>523</v>
      </c>
      <c r="D87" s="231">
        <v>531</v>
      </c>
      <c r="E87" s="233">
        <v>527</v>
      </c>
      <c r="F87" s="232">
        <v>550</v>
      </c>
      <c r="G87" s="231">
        <v>546</v>
      </c>
      <c r="H87" s="238">
        <v>298</v>
      </c>
      <c r="I87" s="238">
        <v>294</v>
      </c>
    </row>
    <row r="88" spans="1:9" ht="13.5" thickBot="1" x14ac:dyDescent="0.25">
      <c r="A88" s="473">
        <v>1200</v>
      </c>
      <c r="B88" s="240">
        <v>1077</v>
      </c>
      <c r="C88" s="241">
        <v>1073</v>
      </c>
      <c r="D88" s="242">
        <v>1081</v>
      </c>
      <c r="E88" s="240">
        <v>1077</v>
      </c>
      <c r="F88" s="241">
        <v>1100</v>
      </c>
      <c r="G88" s="243">
        <v>1096</v>
      </c>
      <c r="H88" s="244">
        <v>848</v>
      </c>
      <c r="I88" s="244">
        <v>844</v>
      </c>
    </row>
    <row r="89" spans="1:9" x14ac:dyDescent="0.2">
      <c r="D89" s="40"/>
      <c r="E89" s="40"/>
    </row>
    <row r="90" spans="1:9" ht="13.5" thickBot="1" x14ac:dyDescent="0.25">
      <c r="A90" s="71"/>
      <c r="B90" s="71"/>
      <c r="C90" s="71"/>
      <c r="D90" s="71"/>
    </row>
    <row r="91" spans="1:9" ht="13.5" thickBot="1" x14ac:dyDescent="0.25">
      <c r="A91" s="72" t="s">
        <v>272</v>
      </c>
      <c r="B91" s="72" t="s">
        <v>275</v>
      </c>
      <c r="C91" s="72" t="s">
        <v>278</v>
      </c>
      <c r="D91" s="72" t="s">
        <v>276</v>
      </c>
      <c r="E91" s="1402"/>
      <c r="F91" s="1402"/>
      <c r="G91" s="1402"/>
      <c r="H91" s="1402"/>
      <c r="I91" s="1402"/>
    </row>
    <row r="92" spans="1:9" ht="13.5" thickBot="1" x14ac:dyDescent="0.25">
      <c r="A92" s="73" t="s">
        <v>286</v>
      </c>
      <c r="B92" s="74">
        <f>$B$21-40</f>
        <v>-40</v>
      </c>
      <c r="C92" s="74">
        <v>98</v>
      </c>
      <c r="D92" s="74">
        <v>4</v>
      </c>
      <c r="E92" s="1402"/>
      <c r="F92" s="1402"/>
      <c r="G92" s="1402"/>
      <c r="H92" s="1402"/>
      <c r="I92" s="1402"/>
    </row>
    <row r="93" spans="1:9" x14ac:dyDescent="0.2">
      <c r="E93" s="1402"/>
      <c r="F93" s="1402"/>
      <c r="G93" s="1402"/>
      <c r="H93" s="1402"/>
      <c r="I93" s="1402"/>
    </row>
    <row r="94" spans="1:9" ht="13.5" thickBot="1" x14ac:dyDescent="0.25">
      <c r="A94" s="71"/>
      <c r="B94" s="71"/>
      <c r="E94" s="1402"/>
      <c r="F94" s="1402"/>
      <c r="G94" s="1402"/>
      <c r="H94" s="1402"/>
      <c r="I94" s="1402"/>
    </row>
    <row r="95" spans="1:9" ht="13.5" thickBot="1" x14ac:dyDescent="0.25">
      <c r="A95" s="70" t="s">
        <v>277</v>
      </c>
      <c r="B95" s="63">
        <v>450</v>
      </c>
      <c r="E95" s="1402"/>
      <c r="F95" s="1402"/>
      <c r="G95" s="1402"/>
      <c r="H95" s="1402"/>
      <c r="I95" s="1402"/>
    </row>
    <row r="96" spans="1:9" x14ac:dyDescent="0.2">
      <c r="E96" s="1402"/>
      <c r="F96" s="1402"/>
      <c r="G96" s="1402"/>
      <c r="H96" s="1402"/>
      <c r="I96" s="1402"/>
    </row>
    <row r="97" spans="5:9" x14ac:dyDescent="0.2">
      <c r="E97" s="1402"/>
      <c r="F97" s="1402"/>
      <c r="G97" s="1402"/>
      <c r="H97" s="1402"/>
      <c r="I97" s="1402"/>
    </row>
    <row r="98" spans="5:9" x14ac:dyDescent="0.2">
      <c r="E98" s="1402"/>
      <c r="F98" s="1402"/>
      <c r="G98" s="1402"/>
      <c r="H98" s="1402"/>
      <c r="I98" s="1402"/>
    </row>
    <row r="99" spans="5:9" x14ac:dyDescent="0.2">
      <c r="E99" s="1402"/>
      <c r="F99" s="1402"/>
      <c r="G99" s="1402"/>
      <c r="H99" s="1402"/>
      <c r="I99" s="1402"/>
    </row>
    <row r="100" spans="5:9" x14ac:dyDescent="0.2">
      <c r="E100" s="1402"/>
      <c r="F100" s="1402"/>
      <c r="G100" s="1402"/>
      <c r="H100" s="1402"/>
      <c r="I100" s="1402"/>
    </row>
    <row r="101" spans="5:9" x14ac:dyDescent="0.2">
      <c r="E101" s="1402"/>
      <c r="F101" s="1402"/>
      <c r="G101" s="1402"/>
      <c r="H101" s="1402"/>
      <c r="I101" s="1402"/>
    </row>
    <row r="102" spans="5:9" x14ac:dyDescent="0.2">
      <c r="E102" s="1402"/>
      <c r="F102" s="1402"/>
      <c r="G102" s="1402"/>
      <c r="H102" s="1402"/>
      <c r="I102" s="1402"/>
    </row>
    <row r="103" spans="5:9" x14ac:dyDescent="0.2">
      <c r="E103" s="1402"/>
      <c r="F103" s="1402"/>
      <c r="G103" s="1402"/>
      <c r="H103" s="1402"/>
      <c r="I103" s="1402"/>
    </row>
    <row r="104" spans="5:9" x14ac:dyDescent="0.2">
      <c r="E104" s="1402"/>
      <c r="F104" s="1402"/>
      <c r="G104" s="1402"/>
      <c r="H104" s="1402"/>
      <c r="I104" s="1402"/>
    </row>
  </sheetData>
  <sheetProtection formatCells="0" formatColumns="0" formatRows="0" insertColumns="0" insertRows="0" insertHyperlinks="0" deleteColumns="0" deleteRows="0" sort="0" autoFilter="0" pivotTables="0"/>
  <protectedRanges>
    <protectedRange sqref="B52" name="Диапазон2_2"/>
    <protectedRange sqref="A36:A44" name="Диапазон1_2"/>
    <protectedRange sqref="B95" name="Диапазон2_3"/>
    <protectedRange sqref="A80:A88" name="Диапазон1_3"/>
  </protectedRanges>
  <customSheetViews>
    <customSheetView guid="{A25B6F15-9B48-4230-9C30-183637D1319E}" scale="115" showGridLines="0">
      <selection activeCell="J8" sqref="J8"/>
      <pageMargins left="0.75" right="0.75" top="1" bottom="1" header="0.5" footer="0.5"/>
      <pageSetup paperSize="9" orientation="portrait" r:id="rId1"/>
      <headerFooter alignWithMargins="0"/>
    </customSheetView>
  </customSheetViews>
  <mergeCells count="34">
    <mergeCell ref="E91:I104"/>
    <mergeCell ref="E47:I60"/>
    <mergeCell ref="E61:I74"/>
    <mergeCell ref="A75:I75"/>
    <mergeCell ref="A77:A79"/>
    <mergeCell ref="B77:C77"/>
    <mergeCell ref="D77:E77"/>
    <mergeCell ref="F77:G77"/>
    <mergeCell ref="H77:I77"/>
    <mergeCell ref="B79:C79"/>
    <mergeCell ref="D79:E79"/>
    <mergeCell ref="F79:G79"/>
    <mergeCell ref="H79:I79"/>
    <mergeCell ref="A31:I31"/>
    <mergeCell ref="A33:A35"/>
    <mergeCell ref="B33:C33"/>
    <mergeCell ref="D33:E33"/>
    <mergeCell ref="F33:G33"/>
    <mergeCell ref="H33:I33"/>
    <mergeCell ref="B35:C35"/>
    <mergeCell ref="D35:E35"/>
    <mergeCell ref="F35:G35"/>
    <mergeCell ref="H35:I35"/>
    <mergeCell ref="E17:I30"/>
    <mergeCell ref="A1:I1"/>
    <mergeCell ref="A3:A5"/>
    <mergeCell ref="B3:C3"/>
    <mergeCell ref="D3:E3"/>
    <mergeCell ref="F3:G3"/>
    <mergeCell ref="H3:I3"/>
    <mergeCell ref="B5:C5"/>
    <mergeCell ref="D5:E5"/>
    <mergeCell ref="F5:G5"/>
    <mergeCell ref="H5:I5"/>
  </mergeCells>
  <hyperlinks>
    <hyperlink ref="J1" location="Содержание!R1C1" display="← СОДЕРЖАНИЕ:" xr:uid="{00000000-0004-0000-14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>
    <tabColor rgb="FFFF6600"/>
  </sheetPr>
  <dimension ref="A1:J36"/>
  <sheetViews>
    <sheetView showGridLines="0" workbookViewId="0">
      <selection activeCell="J1" sqref="J1"/>
    </sheetView>
  </sheetViews>
  <sheetFormatPr defaultRowHeight="15" x14ac:dyDescent="0.25"/>
  <cols>
    <col min="1" max="1" width="28.42578125" style="454" customWidth="1"/>
    <col min="2" max="2" width="19.7109375" style="454" customWidth="1"/>
    <col min="3" max="3" width="17.28515625" style="454" customWidth="1"/>
    <col min="4" max="5" width="17.5703125" style="454" customWidth="1"/>
    <col min="6" max="6" width="15.140625" style="454" customWidth="1"/>
    <col min="7" max="7" width="12" style="454" customWidth="1"/>
    <col min="8" max="9" width="22.42578125" style="454" customWidth="1"/>
    <col min="10" max="10" width="18.85546875" style="454" customWidth="1"/>
    <col min="11" max="16384" width="9.140625" style="454"/>
  </cols>
  <sheetData>
    <row r="1" spans="1:10" ht="62.25" customHeight="1" thickBot="1" x14ac:dyDescent="0.3">
      <c r="A1" s="475" t="s">
        <v>573</v>
      </c>
      <c r="B1" s="476" t="s">
        <v>575</v>
      </c>
      <c r="C1" s="476" t="s">
        <v>564</v>
      </c>
      <c r="D1" s="476" t="s">
        <v>565</v>
      </c>
      <c r="E1" s="476" t="s">
        <v>566</v>
      </c>
      <c r="F1" s="476" t="s">
        <v>567</v>
      </c>
      <c r="G1" s="476" t="s">
        <v>568</v>
      </c>
      <c r="H1" s="476" t="s">
        <v>576</v>
      </c>
      <c r="I1" s="476" t="s">
        <v>577</v>
      </c>
      <c r="J1" s="852" t="s">
        <v>544</v>
      </c>
    </row>
    <row r="2" spans="1:10" ht="45" customHeight="1" x14ac:dyDescent="0.25">
      <c r="A2" s="455" t="s">
        <v>464</v>
      </c>
      <c r="B2" s="477">
        <v>564</v>
      </c>
      <c r="C2" s="477">
        <v>500</v>
      </c>
      <c r="D2" s="456">
        <v>69</v>
      </c>
      <c r="E2" s="456">
        <f>B2-87</f>
        <v>477</v>
      </c>
      <c r="F2" s="457">
        <f>B2-75</f>
        <v>489</v>
      </c>
      <c r="G2" s="457">
        <f>C2-24</f>
        <v>476</v>
      </c>
      <c r="H2" s="457">
        <f>B2-85</f>
        <v>479</v>
      </c>
      <c r="I2" s="460">
        <f>C2-25</f>
        <v>475</v>
      </c>
    </row>
    <row r="3" spans="1:10" ht="33.75" customHeight="1" x14ac:dyDescent="0.25">
      <c r="A3" s="455" t="s">
        <v>470</v>
      </c>
      <c r="B3" s="477">
        <v>564</v>
      </c>
      <c r="C3" s="477">
        <v>500</v>
      </c>
      <c r="D3" s="456">
        <v>84</v>
      </c>
      <c r="E3" s="456">
        <f t="shared" ref="E3:E7" si="0">B3-87</f>
        <v>477</v>
      </c>
      <c r="F3" s="457">
        <f t="shared" ref="F3:F7" si="1">B3-75</f>
        <v>489</v>
      </c>
      <c r="G3" s="457">
        <f t="shared" ref="G3:G7" si="2">C3-24</f>
        <v>476</v>
      </c>
      <c r="H3" s="457">
        <f t="shared" ref="H3:H7" si="3">B3-85</f>
        <v>479</v>
      </c>
      <c r="I3" s="460">
        <f t="shared" ref="I3:I7" si="4">C3-25</f>
        <v>475</v>
      </c>
    </row>
    <row r="4" spans="1:10" ht="39.75" customHeight="1" x14ac:dyDescent="0.25">
      <c r="A4" s="455" t="s">
        <v>459</v>
      </c>
      <c r="B4" s="477">
        <v>564</v>
      </c>
      <c r="C4" s="477">
        <v>500</v>
      </c>
      <c r="D4" s="456">
        <v>116</v>
      </c>
      <c r="E4" s="456">
        <f t="shared" si="0"/>
        <v>477</v>
      </c>
      <c r="F4" s="457">
        <f t="shared" si="1"/>
        <v>489</v>
      </c>
      <c r="G4" s="457">
        <f t="shared" si="2"/>
        <v>476</v>
      </c>
      <c r="H4" s="457">
        <f t="shared" si="3"/>
        <v>479</v>
      </c>
      <c r="I4" s="460">
        <f t="shared" si="4"/>
        <v>475</v>
      </c>
    </row>
    <row r="5" spans="1:10" ht="35.25" customHeight="1" x14ac:dyDescent="0.25">
      <c r="A5" s="455" t="s">
        <v>569</v>
      </c>
      <c r="B5" s="477">
        <v>564</v>
      </c>
      <c r="C5" s="477">
        <v>500</v>
      </c>
      <c r="D5" s="456">
        <v>135</v>
      </c>
      <c r="E5" s="456">
        <f t="shared" si="0"/>
        <v>477</v>
      </c>
      <c r="F5" s="457">
        <f t="shared" si="1"/>
        <v>489</v>
      </c>
      <c r="G5" s="457">
        <f t="shared" si="2"/>
        <v>476</v>
      </c>
      <c r="H5" s="457">
        <f t="shared" si="3"/>
        <v>479</v>
      </c>
      <c r="I5" s="460">
        <f t="shared" si="4"/>
        <v>475</v>
      </c>
    </row>
    <row r="6" spans="1:10" ht="36.75" customHeight="1" x14ac:dyDescent="0.25">
      <c r="A6" s="455" t="s">
        <v>455</v>
      </c>
      <c r="B6" s="477">
        <v>564</v>
      </c>
      <c r="C6" s="477">
        <v>500</v>
      </c>
      <c r="D6" s="456">
        <v>167</v>
      </c>
      <c r="E6" s="456">
        <f t="shared" si="0"/>
        <v>477</v>
      </c>
      <c r="F6" s="457">
        <f t="shared" si="1"/>
        <v>489</v>
      </c>
      <c r="G6" s="457">
        <f t="shared" si="2"/>
        <v>476</v>
      </c>
      <c r="H6" s="457">
        <f t="shared" si="3"/>
        <v>479</v>
      </c>
      <c r="I6" s="460">
        <f t="shared" si="4"/>
        <v>475</v>
      </c>
    </row>
    <row r="7" spans="1:10" ht="42" customHeight="1" x14ac:dyDescent="0.25">
      <c r="A7" s="455" t="s">
        <v>570</v>
      </c>
      <c r="B7" s="477">
        <v>900</v>
      </c>
      <c r="C7" s="477">
        <v>500</v>
      </c>
      <c r="D7" s="456">
        <v>199</v>
      </c>
      <c r="E7" s="456">
        <f t="shared" si="0"/>
        <v>813</v>
      </c>
      <c r="F7" s="457">
        <f t="shared" si="1"/>
        <v>825</v>
      </c>
      <c r="G7" s="457">
        <f t="shared" si="2"/>
        <v>476</v>
      </c>
      <c r="H7" s="457">
        <f t="shared" si="3"/>
        <v>815</v>
      </c>
      <c r="I7" s="460">
        <f t="shared" si="4"/>
        <v>475</v>
      </c>
    </row>
    <row r="9" spans="1:10" ht="20.25" thickBot="1" x14ac:dyDescent="0.3">
      <c r="A9" s="458" t="s">
        <v>571</v>
      </c>
    </row>
    <row r="10" spans="1:10" x14ac:dyDescent="0.25">
      <c r="A10" s="478"/>
      <c r="B10" s="482"/>
      <c r="C10" s="482"/>
      <c r="D10" s="482"/>
      <c r="E10" s="482"/>
      <c r="F10" s="482"/>
      <c r="G10" s="479"/>
      <c r="H10" s="1414"/>
      <c r="I10" s="1415"/>
    </row>
    <row r="11" spans="1:10" x14ac:dyDescent="0.25">
      <c r="A11" s="480"/>
      <c r="G11" s="481"/>
      <c r="H11" s="1416"/>
      <c r="I11" s="1417"/>
    </row>
    <row r="12" spans="1:10" x14ac:dyDescent="0.25">
      <c r="A12" s="480"/>
      <c r="G12" s="481"/>
      <c r="H12" s="1416"/>
      <c r="I12" s="1417"/>
    </row>
    <row r="13" spans="1:10" x14ac:dyDescent="0.25">
      <c r="A13" s="480"/>
      <c r="G13" s="481"/>
      <c r="H13" s="1416"/>
      <c r="I13" s="1417"/>
    </row>
    <row r="14" spans="1:10" x14ac:dyDescent="0.25">
      <c r="A14" s="480"/>
      <c r="G14" s="481"/>
      <c r="H14" s="1416"/>
      <c r="I14" s="1417"/>
    </row>
    <row r="15" spans="1:10" x14ac:dyDescent="0.25">
      <c r="A15" s="480"/>
      <c r="G15" s="481"/>
      <c r="H15" s="1416"/>
      <c r="I15" s="1417"/>
    </row>
    <row r="16" spans="1:10" x14ac:dyDescent="0.25">
      <c r="A16" s="480"/>
      <c r="G16" s="481"/>
      <c r="H16" s="1416"/>
      <c r="I16" s="1417"/>
    </row>
    <row r="17" spans="1:9" x14ac:dyDescent="0.25">
      <c r="A17" s="480"/>
      <c r="G17" s="481"/>
      <c r="H17" s="1416"/>
      <c r="I17" s="1417"/>
    </row>
    <row r="18" spans="1:9" x14ac:dyDescent="0.25">
      <c r="A18" s="480"/>
      <c r="G18" s="481"/>
      <c r="H18" s="1416"/>
      <c r="I18" s="1417"/>
    </row>
    <row r="19" spans="1:9" x14ac:dyDescent="0.25">
      <c r="A19" s="480"/>
      <c r="G19" s="481"/>
      <c r="H19" s="1416"/>
      <c r="I19" s="1417"/>
    </row>
    <row r="20" spans="1:9" ht="15.75" thickBot="1" x14ac:dyDescent="0.3">
      <c r="A20" s="480"/>
      <c r="G20" s="481"/>
      <c r="H20" s="1418"/>
      <c r="I20" s="1419"/>
    </row>
    <row r="21" spans="1:9" x14ac:dyDescent="0.25">
      <c r="A21" s="480"/>
      <c r="G21" s="481"/>
      <c r="H21" s="1408" t="s">
        <v>583</v>
      </c>
      <c r="I21" s="1409"/>
    </row>
    <row r="22" spans="1:9" x14ac:dyDescent="0.25">
      <c r="A22" s="480"/>
      <c r="G22" s="481"/>
      <c r="H22" s="1410"/>
      <c r="I22" s="1411"/>
    </row>
    <row r="23" spans="1:9" x14ac:dyDescent="0.25">
      <c r="A23" s="480"/>
      <c r="G23" s="481"/>
      <c r="H23" s="1410"/>
      <c r="I23" s="1411"/>
    </row>
    <row r="24" spans="1:9" x14ac:dyDescent="0.25">
      <c r="A24" s="480"/>
      <c r="G24" s="481"/>
      <c r="H24" s="1410"/>
      <c r="I24" s="1411"/>
    </row>
    <row r="25" spans="1:9" x14ac:dyDescent="0.25">
      <c r="A25" s="480"/>
      <c r="G25" s="481"/>
      <c r="H25" s="1410"/>
      <c r="I25" s="1411"/>
    </row>
    <row r="26" spans="1:9" x14ac:dyDescent="0.25">
      <c r="A26" s="480"/>
      <c r="G26" s="481"/>
      <c r="H26" s="1410"/>
      <c r="I26" s="1411"/>
    </row>
    <row r="27" spans="1:9" x14ac:dyDescent="0.25">
      <c r="A27" s="480"/>
      <c r="G27" s="481"/>
      <c r="H27" s="1410"/>
      <c r="I27" s="1411"/>
    </row>
    <row r="28" spans="1:9" x14ac:dyDescent="0.25">
      <c r="A28" s="480"/>
      <c r="G28" s="481"/>
      <c r="H28" s="1410"/>
      <c r="I28" s="1411"/>
    </row>
    <row r="29" spans="1:9" x14ac:dyDescent="0.25">
      <c r="A29" s="480"/>
      <c r="G29" s="481"/>
      <c r="H29" s="1410"/>
      <c r="I29" s="1411"/>
    </row>
    <row r="30" spans="1:9" x14ac:dyDescent="0.25">
      <c r="A30" s="480"/>
      <c r="G30" s="481"/>
      <c r="H30" s="1410"/>
      <c r="I30" s="1411"/>
    </row>
    <row r="31" spans="1:9" x14ac:dyDescent="0.25">
      <c r="A31" s="480"/>
      <c r="G31" s="481"/>
      <c r="H31" s="1410"/>
      <c r="I31" s="1411"/>
    </row>
    <row r="32" spans="1:9" x14ac:dyDescent="0.25">
      <c r="A32" s="480"/>
      <c r="G32" s="481"/>
      <c r="H32" s="1410"/>
      <c r="I32" s="1411"/>
    </row>
    <row r="33" spans="1:9" x14ac:dyDescent="0.25">
      <c r="A33" s="480"/>
      <c r="G33" s="481"/>
      <c r="H33" s="1410"/>
      <c r="I33" s="1411"/>
    </row>
    <row r="34" spans="1:9" x14ac:dyDescent="0.25">
      <c r="A34" s="480"/>
      <c r="G34" s="481"/>
      <c r="H34" s="1410"/>
      <c r="I34" s="1411"/>
    </row>
    <row r="35" spans="1:9" x14ac:dyDescent="0.25">
      <c r="A35" s="480"/>
      <c r="G35" s="481"/>
      <c r="H35" s="1410"/>
      <c r="I35" s="1411"/>
    </row>
    <row r="36" spans="1:9" ht="15.75" thickBot="1" x14ac:dyDescent="0.3">
      <c r="A36" s="483"/>
      <c r="B36" s="484"/>
      <c r="C36" s="484"/>
      <c r="D36" s="484"/>
      <c r="E36" s="484"/>
      <c r="F36" s="484"/>
      <c r="G36" s="485"/>
      <c r="H36" s="1412"/>
      <c r="I36" s="1413"/>
    </row>
  </sheetData>
  <sheetProtection algorithmName="SHA-512" hashValue="MNoUxynlOpHur7q39nrN8QU6c3qcFB68uZ7Dw8rkCmLZNppG/v8g6Wvz7Mc9+OkuF52JQU1GzWSAD3LeEWx4Sw==" saltValue="fUPRjbBeImKd7j4w8Gld6A==" spinCount="100000" sheet="1" formatCells="0" formatColumns="0" formatRows="0" insertColumns="0" insertRows="0" insertHyperlinks="0" deleteColumns="0" deleteRows="0" sort="0" autoFilter="0" pivotTables="0"/>
  <mergeCells count="2">
    <mergeCell ref="H21:I36"/>
    <mergeCell ref="H10:I20"/>
  </mergeCells>
  <hyperlinks>
    <hyperlink ref="J1" location="Содержание!R1C1" display="← СОДЕРЖАНИЕ:" xr:uid="{00000000-0004-0000-1700-000000000000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>
    <tabColor rgb="FFFF860D"/>
  </sheetPr>
  <dimension ref="A1:K33"/>
  <sheetViews>
    <sheetView showGridLines="0" zoomScaleNormal="100" workbookViewId="0">
      <selection activeCell="K1" sqref="K1"/>
    </sheetView>
  </sheetViews>
  <sheetFormatPr defaultRowHeight="15" x14ac:dyDescent="0.25"/>
  <cols>
    <col min="1" max="1" width="28.42578125" style="454" customWidth="1"/>
    <col min="2" max="2" width="17.85546875" style="454" customWidth="1"/>
    <col min="3" max="3" width="16.5703125" style="454" customWidth="1"/>
    <col min="4" max="4" width="22.42578125" style="454" customWidth="1"/>
    <col min="5" max="5" width="17.7109375" style="454" customWidth="1"/>
    <col min="6" max="6" width="13.140625" style="454" customWidth="1"/>
    <col min="7" max="7" width="14.85546875" style="454" customWidth="1"/>
    <col min="8" max="8" width="22.42578125" style="454" customWidth="1"/>
    <col min="9" max="9" width="22.5703125" style="454" customWidth="1"/>
    <col min="10" max="10" width="23.7109375" style="454" customWidth="1"/>
    <col min="11" max="11" width="16.42578125" style="454" customWidth="1"/>
    <col min="12" max="16384" width="9.140625" style="454"/>
  </cols>
  <sheetData>
    <row r="1" spans="1:11" ht="60.75" customHeight="1" thickBot="1" x14ac:dyDescent="0.3">
      <c r="A1" s="475" t="s">
        <v>572</v>
      </c>
      <c r="B1" s="476" t="s">
        <v>575</v>
      </c>
      <c r="C1" s="476" t="s">
        <v>564</v>
      </c>
      <c r="D1" s="476" t="s">
        <v>565</v>
      </c>
      <c r="E1" s="476" t="s">
        <v>566</v>
      </c>
      <c r="F1" s="476" t="s">
        <v>567</v>
      </c>
      <c r="G1" s="476" t="s">
        <v>568</v>
      </c>
      <c r="H1" s="476" t="s">
        <v>578</v>
      </c>
      <c r="I1" s="476" t="s">
        <v>579</v>
      </c>
      <c r="J1" s="476" t="s">
        <v>580</v>
      </c>
      <c r="K1" s="474" t="s">
        <v>544</v>
      </c>
    </row>
    <row r="2" spans="1:11" ht="45" customHeight="1" x14ac:dyDescent="0.25">
      <c r="A2" s="455" t="s">
        <v>464</v>
      </c>
      <c r="B2" s="486">
        <v>564</v>
      </c>
      <c r="C2" s="486">
        <v>500</v>
      </c>
      <c r="D2" s="459">
        <v>39</v>
      </c>
      <c r="E2" s="459">
        <f>B2-38</f>
        <v>526</v>
      </c>
      <c r="F2" s="460">
        <f>B2-35</f>
        <v>529</v>
      </c>
      <c r="G2" s="460">
        <f>C2-10</f>
        <v>490</v>
      </c>
      <c r="H2" s="460">
        <f>B2-43</f>
        <v>521</v>
      </c>
      <c r="I2" s="460">
        <f>C2-27</f>
        <v>473</v>
      </c>
      <c r="J2" s="460">
        <f>C2-40</f>
        <v>460</v>
      </c>
    </row>
    <row r="3" spans="1:11" ht="33.75" customHeight="1" x14ac:dyDescent="0.25">
      <c r="A3" s="455" t="s">
        <v>470</v>
      </c>
      <c r="B3" s="486">
        <v>564</v>
      </c>
      <c r="C3" s="486">
        <v>500</v>
      </c>
      <c r="D3" s="459">
        <v>63</v>
      </c>
      <c r="E3" s="459">
        <f t="shared" ref="E3:E6" si="0">B3-38</f>
        <v>526</v>
      </c>
      <c r="F3" s="460">
        <f t="shared" ref="F3:F6" si="1">B3-35</f>
        <v>529</v>
      </c>
      <c r="G3" s="460">
        <f t="shared" ref="G3:G6" si="2">C3-10</f>
        <v>490</v>
      </c>
      <c r="H3" s="460">
        <f t="shared" ref="H3:H6" si="3">B3-43</f>
        <v>521</v>
      </c>
      <c r="I3" s="460">
        <f t="shared" ref="I3:I6" si="4">C3-27</f>
        <v>473</v>
      </c>
      <c r="J3" s="460">
        <f t="shared" ref="J3:J6" si="5">C3-40</f>
        <v>460</v>
      </c>
    </row>
    <row r="4" spans="1:11" ht="39.75" customHeight="1" x14ac:dyDescent="0.25">
      <c r="A4" s="455" t="s">
        <v>459</v>
      </c>
      <c r="B4" s="486">
        <v>564</v>
      </c>
      <c r="C4" s="486">
        <v>500</v>
      </c>
      <c r="D4" s="459">
        <v>101</v>
      </c>
      <c r="E4" s="459">
        <f t="shared" si="0"/>
        <v>526</v>
      </c>
      <c r="F4" s="460">
        <f t="shared" si="1"/>
        <v>529</v>
      </c>
      <c r="G4" s="460">
        <f t="shared" si="2"/>
        <v>490</v>
      </c>
      <c r="H4" s="460">
        <f t="shared" si="3"/>
        <v>521</v>
      </c>
      <c r="I4" s="460">
        <f t="shared" si="4"/>
        <v>473</v>
      </c>
      <c r="J4" s="460">
        <f t="shared" si="5"/>
        <v>460</v>
      </c>
    </row>
    <row r="5" spans="1:11" ht="35.25" customHeight="1" x14ac:dyDescent="0.25">
      <c r="A5" s="455" t="s">
        <v>455</v>
      </c>
      <c r="B5" s="486">
        <v>564</v>
      </c>
      <c r="C5" s="486">
        <v>500</v>
      </c>
      <c r="D5" s="459">
        <v>148</v>
      </c>
      <c r="E5" s="459">
        <f t="shared" si="0"/>
        <v>526</v>
      </c>
      <c r="F5" s="460">
        <f t="shared" si="1"/>
        <v>529</v>
      </c>
      <c r="G5" s="460">
        <f t="shared" si="2"/>
        <v>490</v>
      </c>
      <c r="H5" s="460">
        <f t="shared" si="3"/>
        <v>521</v>
      </c>
      <c r="I5" s="460">
        <f t="shared" si="4"/>
        <v>473</v>
      </c>
      <c r="J5" s="460">
        <f t="shared" si="5"/>
        <v>460</v>
      </c>
    </row>
    <row r="6" spans="1:11" ht="36.75" customHeight="1" x14ac:dyDescent="0.25">
      <c r="A6" s="455" t="s">
        <v>451</v>
      </c>
      <c r="B6" s="486">
        <v>564</v>
      </c>
      <c r="C6" s="486">
        <v>500</v>
      </c>
      <c r="D6" s="459">
        <v>212</v>
      </c>
      <c r="E6" s="459">
        <f t="shared" si="0"/>
        <v>526</v>
      </c>
      <c r="F6" s="460">
        <f t="shared" si="1"/>
        <v>529</v>
      </c>
      <c r="G6" s="460">
        <f t="shared" si="2"/>
        <v>490</v>
      </c>
      <c r="H6" s="460">
        <f t="shared" si="3"/>
        <v>521</v>
      </c>
      <c r="I6" s="460">
        <f t="shared" si="4"/>
        <v>473</v>
      </c>
      <c r="J6" s="460">
        <f t="shared" si="5"/>
        <v>460</v>
      </c>
    </row>
    <row r="7" spans="1:11" ht="15.75" thickBot="1" x14ac:dyDescent="0.3"/>
    <row r="8" spans="1:11" x14ac:dyDescent="0.25">
      <c r="A8" s="478"/>
      <c r="B8" s="482"/>
      <c r="C8" s="482"/>
      <c r="D8" s="482"/>
      <c r="E8" s="482"/>
      <c r="F8" s="482"/>
      <c r="G8" s="479"/>
      <c r="H8" s="1426"/>
      <c r="I8" s="1427"/>
      <c r="J8" s="1432"/>
    </row>
    <row r="9" spans="1:11" x14ac:dyDescent="0.25">
      <c r="A9" s="480"/>
      <c r="G9" s="481"/>
      <c r="H9" s="1428"/>
      <c r="I9" s="1429"/>
      <c r="J9" s="1433"/>
    </row>
    <row r="10" spans="1:11" x14ac:dyDescent="0.25">
      <c r="A10" s="480"/>
      <c r="G10" s="481"/>
      <c r="H10" s="1428"/>
      <c r="I10" s="1429"/>
      <c r="J10" s="1433"/>
    </row>
    <row r="11" spans="1:11" x14ac:dyDescent="0.25">
      <c r="A11" s="480"/>
      <c r="G11" s="481"/>
      <c r="H11" s="1428"/>
      <c r="I11" s="1429"/>
      <c r="J11" s="1433"/>
    </row>
    <row r="12" spans="1:11" x14ac:dyDescent="0.25">
      <c r="A12" s="480"/>
      <c r="G12" s="481"/>
      <c r="H12" s="1428"/>
      <c r="I12" s="1429"/>
      <c r="J12" s="1433"/>
    </row>
    <row r="13" spans="1:11" ht="15.75" thickBot="1" x14ac:dyDescent="0.3">
      <c r="A13" s="480"/>
      <c r="G13" s="481"/>
      <c r="H13" s="1430"/>
      <c r="I13" s="1431"/>
      <c r="J13" s="1434"/>
    </row>
    <row r="14" spans="1:11" x14ac:dyDescent="0.25">
      <c r="A14" s="480"/>
      <c r="G14" s="481"/>
      <c r="H14" s="1420" t="s">
        <v>581</v>
      </c>
      <c r="I14" s="1409"/>
      <c r="J14" s="1423" t="s">
        <v>582</v>
      </c>
    </row>
    <row r="15" spans="1:11" x14ac:dyDescent="0.25">
      <c r="A15" s="480"/>
      <c r="G15" s="481"/>
      <c r="H15" s="1421"/>
      <c r="I15" s="1411"/>
      <c r="J15" s="1424"/>
    </row>
    <row r="16" spans="1:11" x14ac:dyDescent="0.25">
      <c r="A16" s="480"/>
      <c r="G16" s="481"/>
      <c r="H16" s="1421"/>
      <c r="I16" s="1411"/>
      <c r="J16" s="1424"/>
    </row>
    <row r="17" spans="1:10" ht="15" customHeight="1" x14ac:dyDescent="0.25">
      <c r="A17" s="480"/>
      <c r="G17" s="481"/>
      <c r="H17" s="1421"/>
      <c r="I17" s="1411"/>
      <c r="J17" s="1424"/>
    </row>
    <row r="18" spans="1:10" x14ac:dyDescent="0.25">
      <c r="A18" s="480"/>
      <c r="G18" s="481"/>
      <c r="H18" s="1421"/>
      <c r="I18" s="1411"/>
      <c r="J18" s="1424"/>
    </row>
    <row r="19" spans="1:10" x14ac:dyDescent="0.25">
      <c r="A19" s="480"/>
      <c r="G19" s="481"/>
      <c r="H19" s="1421"/>
      <c r="I19" s="1411"/>
      <c r="J19" s="1424"/>
    </row>
    <row r="20" spans="1:10" x14ac:dyDescent="0.25">
      <c r="A20" s="480"/>
      <c r="G20" s="481"/>
      <c r="H20" s="1421"/>
      <c r="I20" s="1411"/>
      <c r="J20" s="1424"/>
    </row>
    <row r="21" spans="1:10" x14ac:dyDescent="0.25">
      <c r="A21" s="480"/>
      <c r="G21" s="481"/>
      <c r="H21" s="1421"/>
      <c r="I21" s="1411"/>
      <c r="J21" s="1424"/>
    </row>
    <row r="22" spans="1:10" ht="15.75" thickBot="1" x14ac:dyDescent="0.3">
      <c r="A22" s="480"/>
      <c r="G22" s="481"/>
      <c r="H22" s="1422"/>
      <c r="I22" s="1413"/>
      <c r="J22" s="1425"/>
    </row>
    <row r="23" spans="1:10" x14ac:dyDescent="0.25">
      <c r="A23" s="480"/>
      <c r="G23" s="481"/>
    </row>
    <row r="24" spans="1:10" x14ac:dyDescent="0.25">
      <c r="A24" s="480"/>
      <c r="G24" s="481"/>
    </row>
    <row r="25" spans="1:10" x14ac:dyDescent="0.25">
      <c r="A25" s="480"/>
      <c r="G25" s="481"/>
    </row>
    <row r="26" spans="1:10" x14ac:dyDescent="0.25">
      <c r="A26" s="480"/>
      <c r="G26" s="481"/>
    </row>
    <row r="27" spans="1:10" x14ac:dyDescent="0.25">
      <c r="A27" s="480"/>
      <c r="G27" s="481"/>
    </row>
    <row r="28" spans="1:10" x14ac:dyDescent="0.25">
      <c r="A28" s="480"/>
      <c r="G28" s="481"/>
    </row>
    <row r="29" spans="1:10" x14ac:dyDescent="0.25">
      <c r="A29" s="480"/>
      <c r="G29" s="481"/>
    </row>
    <row r="30" spans="1:10" x14ac:dyDescent="0.25">
      <c r="A30" s="480"/>
      <c r="G30" s="481"/>
    </row>
    <row r="31" spans="1:10" x14ac:dyDescent="0.25">
      <c r="A31" s="480"/>
      <c r="G31" s="481"/>
    </row>
    <row r="32" spans="1:10" x14ac:dyDescent="0.25">
      <c r="A32" s="480"/>
      <c r="G32" s="481"/>
    </row>
    <row r="33" spans="1:7" ht="15.75" thickBot="1" x14ac:dyDescent="0.3">
      <c r="A33" s="483"/>
      <c r="B33" s="484"/>
      <c r="C33" s="484"/>
      <c r="D33" s="484"/>
      <c r="E33" s="484"/>
      <c r="F33" s="484"/>
      <c r="G33" s="485"/>
    </row>
  </sheetData>
  <sheetProtection algorithmName="SHA-512" hashValue="9QBoDeRx/lT/g+yL2lFxwVLzyFLp7jxXfH5CI4GqecyvsqtXJp2fonW/5AI/GGDikDjyqMXDK6NnKcuuYLRv2Q==" saltValue="D8EnxDFOhE3FaEcn5fCAdg==" spinCount="100000" sheet="1" formatCells="0" formatColumns="0" formatRows="0" insertColumns="0" insertRows="0" insertHyperlinks="0" deleteColumns="0" deleteRows="0" sort="0" autoFilter="0" pivotTables="0"/>
  <mergeCells count="4">
    <mergeCell ref="H14:I22"/>
    <mergeCell ref="J14:J22"/>
    <mergeCell ref="H8:I13"/>
    <mergeCell ref="J8:J13"/>
  </mergeCells>
  <hyperlinks>
    <hyperlink ref="K1" location="Содержание!R1C1" display="← СОДЕРЖАНИЕ:" xr:uid="{00000000-0004-0000-1800-000000000000}"/>
  </hyperlinks>
  <pageMargins left="0.7" right="0.7" top="0.75" bottom="0.75" header="0.3" footer="0.3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018E-9A93-46DD-BD60-057B7B470769}">
  <sheetPr>
    <tabColor theme="1" tint="0.34998626667073579"/>
  </sheetPr>
  <dimension ref="A1:G10"/>
  <sheetViews>
    <sheetView showGridLines="0" zoomScale="80" zoomScaleNormal="80" zoomScaleSheetLayoutView="100" workbookViewId="0">
      <selection activeCell="G1" sqref="G1"/>
    </sheetView>
  </sheetViews>
  <sheetFormatPr defaultRowHeight="15" x14ac:dyDescent="0.25"/>
  <cols>
    <col min="1" max="1" width="9.140625" style="454"/>
    <col min="2" max="2" width="56.85546875" style="454" customWidth="1"/>
    <col min="3" max="3" width="33.85546875" style="454" customWidth="1"/>
    <col min="4" max="4" width="41.28515625" style="454" customWidth="1"/>
    <col min="5" max="5" width="41.7109375" style="454" customWidth="1"/>
    <col min="6" max="6" width="20.42578125" style="454" customWidth="1"/>
    <col min="7" max="7" width="22.85546875" style="454" customWidth="1"/>
    <col min="8" max="16384" width="9.140625" style="454"/>
  </cols>
  <sheetData>
    <row r="1" spans="1:7" ht="43.5" customHeight="1" thickBot="1" x14ac:dyDescent="0.3">
      <c r="A1" s="1438" t="s">
        <v>677</v>
      </c>
      <c r="B1" s="1439"/>
      <c r="C1" s="1439"/>
      <c r="D1" s="1439"/>
      <c r="E1" s="1439"/>
      <c r="F1" s="1440"/>
      <c r="G1" s="841" t="s">
        <v>544</v>
      </c>
    </row>
    <row r="2" spans="1:7" ht="111.75" customHeight="1" x14ac:dyDescent="0.25">
      <c r="A2" s="838"/>
      <c r="B2" s="838"/>
      <c r="C2" s="838"/>
      <c r="D2" s="846"/>
      <c r="E2" s="846"/>
      <c r="F2" s="1435" t="s">
        <v>665</v>
      </c>
    </row>
    <row r="3" spans="1:7" ht="54.75" customHeight="1" x14ac:dyDescent="0.25">
      <c r="A3" s="1437" t="s">
        <v>673</v>
      </c>
      <c r="B3" s="1437"/>
      <c r="C3" s="835" t="s">
        <v>666</v>
      </c>
      <c r="D3" s="847" t="s">
        <v>671</v>
      </c>
      <c r="E3" s="847" t="s">
        <v>667</v>
      </c>
      <c r="F3" s="1436"/>
    </row>
    <row r="4" spans="1:7" ht="60.75" customHeight="1" x14ac:dyDescent="0.25">
      <c r="A4" s="840">
        <v>1</v>
      </c>
      <c r="B4" s="836" t="s">
        <v>668</v>
      </c>
      <c r="C4" s="845">
        <v>600</v>
      </c>
      <c r="D4" s="837">
        <f>C4-36</f>
        <v>564</v>
      </c>
      <c r="E4" s="849">
        <f>1125/(D4-240)</f>
        <v>3.4722222222222223</v>
      </c>
      <c r="F4" s="848">
        <f>D4-240</f>
        <v>324</v>
      </c>
    </row>
    <row r="5" spans="1:7" ht="56.25" customHeight="1" x14ac:dyDescent="0.25">
      <c r="A5" s="840">
        <v>2</v>
      </c>
      <c r="B5" s="839" t="s">
        <v>669</v>
      </c>
      <c r="C5" s="845">
        <v>600</v>
      </c>
      <c r="D5" s="837">
        <f t="shared" ref="D5:D9" si="0">C5-36</f>
        <v>564</v>
      </c>
      <c r="E5" s="849">
        <f>1125/(D5-247)</f>
        <v>3.5488958990536279</v>
      </c>
      <c r="F5" s="848">
        <f>D5-247</f>
        <v>317</v>
      </c>
    </row>
    <row r="6" spans="1:7" ht="56.25" customHeight="1" x14ac:dyDescent="0.25">
      <c r="A6" s="840">
        <v>3</v>
      </c>
      <c r="B6" s="839" t="s">
        <v>670</v>
      </c>
      <c r="C6" s="845">
        <v>600</v>
      </c>
      <c r="D6" s="837">
        <f t="shared" ref="D6" si="1">C6-36</f>
        <v>564</v>
      </c>
      <c r="E6" s="849">
        <f>1125/(D6-267)</f>
        <v>3.7878787878787881</v>
      </c>
      <c r="F6" s="848">
        <f>D6-267</f>
        <v>297</v>
      </c>
    </row>
    <row r="7" spans="1:7" ht="57" customHeight="1" x14ac:dyDescent="0.25">
      <c r="A7" s="840">
        <v>4</v>
      </c>
      <c r="B7" s="839" t="s">
        <v>672</v>
      </c>
      <c r="C7" s="845">
        <v>600</v>
      </c>
      <c r="D7" s="837">
        <f t="shared" si="0"/>
        <v>564</v>
      </c>
      <c r="E7" s="849">
        <f>1125/(D7-267)</f>
        <v>3.7878787878787881</v>
      </c>
      <c r="F7" s="848">
        <f>D7-267</f>
        <v>297</v>
      </c>
    </row>
    <row r="8" spans="1:7" ht="92.25" customHeight="1" x14ac:dyDescent="0.25">
      <c r="A8" s="840">
        <v>5</v>
      </c>
      <c r="B8" s="851" t="s">
        <v>694</v>
      </c>
      <c r="C8" s="845">
        <v>1400</v>
      </c>
      <c r="D8" s="837">
        <f t="shared" si="0"/>
        <v>1364</v>
      </c>
      <c r="E8" s="849">
        <f>1089/(D8-284)</f>
        <v>1.0083333333333333</v>
      </c>
      <c r="F8" s="848">
        <f>D8-284</f>
        <v>1080</v>
      </c>
    </row>
    <row r="9" spans="1:7" ht="96.75" customHeight="1" x14ac:dyDescent="0.25">
      <c r="A9" s="840">
        <v>6</v>
      </c>
      <c r="B9" s="851" t="s">
        <v>693</v>
      </c>
      <c r="C9" s="845">
        <v>1200</v>
      </c>
      <c r="D9" s="837">
        <f t="shared" si="0"/>
        <v>1164</v>
      </c>
      <c r="E9" s="849">
        <f>889/(D9-284)</f>
        <v>1.0102272727272728</v>
      </c>
      <c r="F9" s="848">
        <f>D9-284</f>
        <v>880</v>
      </c>
    </row>
    <row r="10" spans="1:7" ht="90.75" x14ac:dyDescent="0.25">
      <c r="A10" s="840">
        <v>7</v>
      </c>
      <c r="B10" s="851" t="s">
        <v>695</v>
      </c>
      <c r="C10" s="845">
        <v>600</v>
      </c>
      <c r="D10" s="837">
        <f t="shared" ref="D10" si="2">C10-36</f>
        <v>564</v>
      </c>
      <c r="E10" s="849">
        <f>1089/(D10-37)</f>
        <v>2.0664136622390892</v>
      </c>
      <c r="F10" s="848">
        <f>D10-37</f>
        <v>527</v>
      </c>
    </row>
  </sheetData>
  <sheetProtection algorithmName="SHA-512" hashValue="qXG4tPGvzMIZMyBUypsv/E4nNrJ4gDuOKCoa/MHNZ/nrn10JjvwHnZss7twjrZl3lNyYFJrHdAMk2ss3GlpQSg==" saltValue="apjmGvIidcRml3Au+A7j7A==" spinCount="100000" sheet="1" formatCells="0" formatColumns="0" formatRows="0" insertColumns="0" insertRows="0" insertHyperlinks="0" deleteColumns="0" deleteRows="0" sort="0" autoFilter="0" pivotTables="0"/>
  <mergeCells count="3">
    <mergeCell ref="F2:F3"/>
    <mergeCell ref="A3:B3"/>
    <mergeCell ref="A1:F1"/>
  </mergeCells>
  <hyperlinks>
    <hyperlink ref="G1" location="Содержание!G1" display="← СОДЕРЖАНИЕ:" xr:uid="{3B7829D4-5D98-4B9E-A631-1375EA5834D7}"/>
  </hyperlinks>
  <pageMargins left="0.7" right="0.7" top="0.75" bottom="0.75" header="0.3" footer="0.3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J35"/>
  <sheetViews>
    <sheetView showGridLines="0" zoomScaleNormal="100" workbookViewId="0">
      <selection activeCell="D25" sqref="D25"/>
    </sheetView>
  </sheetViews>
  <sheetFormatPr defaultColWidth="11.42578125" defaultRowHeight="12.75" x14ac:dyDescent="0.2"/>
  <cols>
    <col min="1" max="1" width="39" style="8" customWidth="1"/>
    <col min="2" max="2" width="12" style="8" hidden="1" customWidth="1"/>
    <col min="3" max="3" width="14.5703125" style="8" hidden="1" customWidth="1"/>
    <col min="4" max="4" width="25" style="8" customWidth="1"/>
    <col min="5" max="5" width="15.42578125" style="8" customWidth="1"/>
    <col min="6" max="6" width="7.5703125" style="8" customWidth="1"/>
    <col min="7" max="9" width="11.42578125" style="8"/>
    <col min="10" max="10" width="19.28515625" style="8" customWidth="1"/>
    <col min="11" max="16384" width="11.42578125" style="8"/>
  </cols>
  <sheetData>
    <row r="1" spans="1:10" ht="47.25" customHeight="1" thickBot="1" x14ac:dyDescent="0.4">
      <c r="A1" s="983" t="s">
        <v>65</v>
      </c>
      <c r="B1" s="984"/>
      <c r="C1" s="984"/>
      <c r="D1" s="984"/>
      <c r="E1" s="984"/>
      <c r="F1" s="984"/>
      <c r="G1" s="985"/>
      <c r="H1" s="985"/>
      <c r="I1" s="986"/>
      <c r="J1" s="435" t="s">
        <v>544</v>
      </c>
    </row>
    <row r="2" spans="1:10" ht="21" customHeight="1" x14ac:dyDescent="0.2">
      <c r="A2" s="987" t="s">
        <v>657</v>
      </c>
      <c r="B2" s="988"/>
      <c r="C2" s="988"/>
      <c r="D2" s="988"/>
      <c r="E2" s="988"/>
      <c r="F2" s="988"/>
      <c r="G2" s="989"/>
      <c r="H2" s="989"/>
      <c r="I2" s="990"/>
    </row>
    <row r="3" spans="1:10" ht="14.25" customHeight="1" thickBot="1" x14ac:dyDescent="0.3">
      <c r="A3" s="128"/>
      <c r="B3" s="129"/>
      <c r="C3" s="129"/>
      <c r="D3" s="130"/>
      <c r="E3" s="130"/>
      <c r="F3" s="130"/>
      <c r="G3" s="970"/>
      <c r="H3" s="970"/>
      <c r="I3" s="971"/>
    </row>
    <row r="4" spans="1:10" ht="16.5" thickBot="1" x14ac:dyDescent="0.3">
      <c r="A4" s="980" t="s">
        <v>551</v>
      </c>
      <c r="B4" s="981"/>
      <c r="C4" s="981"/>
      <c r="D4" s="981"/>
      <c r="E4" s="982"/>
      <c r="G4" s="970"/>
      <c r="H4" s="970"/>
      <c r="I4" s="971"/>
    </row>
    <row r="5" spans="1:10" ht="15" x14ac:dyDescent="0.2">
      <c r="A5" s="775" t="s">
        <v>67</v>
      </c>
      <c r="B5" s="776"/>
      <c r="C5" s="777"/>
      <c r="D5" s="778">
        <v>800</v>
      </c>
      <c r="E5" s="779" t="s">
        <v>68</v>
      </c>
      <c r="F5" s="125"/>
      <c r="G5" s="970"/>
      <c r="H5" s="970"/>
      <c r="I5" s="971"/>
    </row>
    <row r="6" spans="1:10" ht="15" x14ac:dyDescent="0.2">
      <c r="A6" s="780" t="s">
        <v>69</v>
      </c>
      <c r="B6" s="776"/>
      <c r="C6" s="777"/>
      <c r="D6" s="781">
        <v>2</v>
      </c>
      <c r="E6" s="782" t="s">
        <v>68</v>
      </c>
      <c r="G6" s="970"/>
      <c r="H6" s="970"/>
      <c r="I6" s="971"/>
    </row>
    <row r="7" spans="1:10" ht="15" x14ac:dyDescent="0.2">
      <c r="A7" s="780" t="s">
        <v>70</v>
      </c>
      <c r="B7" s="776"/>
      <c r="C7" s="777"/>
      <c r="D7" s="781">
        <v>3</v>
      </c>
      <c r="E7" s="782" t="s">
        <v>68</v>
      </c>
      <c r="G7" s="970"/>
      <c r="H7" s="970"/>
      <c r="I7" s="971"/>
    </row>
    <row r="8" spans="1:10" ht="15" x14ac:dyDescent="0.2">
      <c r="A8" s="780" t="s">
        <v>71</v>
      </c>
      <c r="B8" s="776"/>
      <c r="C8" s="777"/>
      <c r="D8" s="781">
        <v>2</v>
      </c>
      <c r="E8" s="782" t="s">
        <v>68</v>
      </c>
      <c r="G8" s="970"/>
      <c r="H8" s="970"/>
      <c r="I8" s="971"/>
    </row>
    <row r="9" spans="1:10" ht="15.75" thickBot="1" x14ac:dyDescent="0.25">
      <c r="A9" s="783" t="s">
        <v>72</v>
      </c>
      <c r="B9" s="784"/>
      <c r="C9" s="785"/>
      <c r="D9" s="786">
        <v>18</v>
      </c>
      <c r="E9" s="787" t="s">
        <v>68</v>
      </c>
      <c r="G9" s="970"/>
      <c r="H9" s="970"/>
      <c r="I9" s="971"/>
      <c r="J9" s="125"/>
    </row>
    <row r="10" spans="1:10" x14ac:dyDescent="0.2">
      <c r="A10" s="131"/>
      <c r="B10" s="9"/>
      <c r="C10" s="9"/>
      <c r="G10" s="970"/>
      <c r="H10" s="970"/>
      <c r="I10" s="971"/>
    </row>
    <row r="11" spans="1:10" x14ac:dyDescent="0.2">
      <c r="A11" s="131"/>
      <c r="B11" s="9"/>
      <c r="C11" s="9"/>
      <c r="G11" s="970"/>
      <c r="H11" s="970"/>
      <c r="I11" s="971"/>
    </row>
    <row r="12" spans="1:10" ht="13.5" thickBot="1" x14ac:dyDescent="0.25">
      <c r="A12" s="221"/>
      <c r="B12" s="213"/>
      <c r="C12" s="213"/>
      <c r="D12" s="222"/>
      <c r="E12" s="222"/>
      <c r="G12" s="970"/>
      <c r="H12" s="970"/>
      <c r="I12" s="971"/>
    </row>
    <row r="13" spans="1:10" ht="16.5" thickBot="1" x14ac:dyDescent="0.3">
      <c r="A13" s="974" t="s">
        <v>73</v>
      </c>
      <c r="B13" s="975"/>
      <c r="C13" s="975"/>
      <c r="D13" s="975"/>
      <c r="E13" s="976"/>
      <c r="G13" s="970"/>
      <c r="H13" s="970"/>
      <c r="I13" s="971"/>
    </row>
    <row r="14" spans="1:10" x14ac:dyDescent="0.2">
      <c r="A14" s="223" t="s">
        <v>74</v>
      </c>
      <c r="B14" s="214">
        <f>(+D5-D6-D7-D8)/2</f>
        <v>396.5</v>
      </c>
      <c r="C14" s="215" t="s">
        <v>550</v>
      </c>
      <c r="D14" s="216">
        <f>IF(B14&lt;236,C14,IF(B14&gt;516,C14,B14))</f>
        <v>396.5</v>
      </c>
      <c r="E14" s="209" t="s">
        <v>68</v>
      </c>
      <c r="G14" s="970"/>
      <c r="H14" s="970"/>
      <c r="I14" s="971"/>
    </row>
    <row r="15" spans="1:10" ht="13.5" thickBot="1" x14ac:dyDescent="0.25">
      <c r="A15" s="224" t="s">
        <v>75</v>
      </c>
      <c r="B15" s="217"/>
      <c r="C15" s="218"/>
      <c r="D15" s="219">
        <f>IF(C14=D14,C14,(+D5-D6-D7-D8)/2)</f>
        <v>396.5</v>
      </c>
      <c r="E15" s="212" t="s">
        <v>68</v>
      </c>
      <c r="G15" s="970"/>
      <c r="H15" s="970"/>
      <c r="I15" s="971"/>
    </row>
    <row r="16" spans="1:10" x14ac:dyDescent="0.2">
      <c r="A16" s="223" t="s">
        <v>76</v>
      </c>
      <c r="B16" s="214"/>
      <c r="C16" s="220">
        <f>IF(D14&lt;272,28,57)</f>
        <v>57</v>
      </c>
      <c r="D16" s="216">
        <f>IF(C14=D14,C14,(D14*0.6-C16+D6))</f>
        <v>182.89999999999998</v>
      </c>
      <c r="E16" s="209" t="s">
        <v>68</v>
      </c>
      <c r="G16" s="970"/>
      <c r="H16" s="970"/>
      <c r="I16" s="971"/>
    </row>
    <row r="17" spans="1:9" ht="13.5" thickBot="1" x14ac:dyDescent="0.25">
      <c r="A17" s="225" t="s">
        <v>77</v>
      </c>
      <c r="B17" s="210"/>
      <c r="C17" s="211">
        <f>IF(D14&lt;272,70,47)</f>
        <v>47</v>
      </c>
      <c r="D17" s="219">
        <f>IF(C14=D14,C14,(D14*0.5+C17))</f>
        <v>245.25</v>
      </c>
      <c r="E17" s="212" t="s">
        <v>68</v>
      </c>
      <c r="G17" s="970"/>
      <c r="H17" s="970"/>
      <c r="I17" s="971"/>
    </row>
    <row r="18" spans="1:9" x14ac:dyDescent="0.2">
      <c r="A18" s="131"/>
      <c r="B18" s="9"/>
      <c r="C18" s="9"/>
      <c r="G18" s="970"/>
      <c r="H18" s="970"/>
      <c r="I18" s="971"/>
    </row>
    <row r="19" spans="1:9" x14ac:dyDescent="0.2">
      <c r="A19" s="131"/>
      <c r="B19" s="9"/>
      <c r="C19" s="9"/>
      <c r="G19" s="970"/>
      <c r="H19" s="970"/>
      <c r="I19" s="971"/>
    </row>
    <row r="20" spans="1:9" ht="13.5" thickBot="1" x14ac:dyDescent="0.25">
      <c r="A20" s="131"/>
      <c r="B20" s="9"/>
      <c r="C20" s="9"/>
      <c r="G20" s="970"/>
      <c r="H20" s="970"/>
      <c r="I20" s="971"/>
    </row>
    <row r="21" spans="1:9" ht="16.5" thickBot="1" x14ac:dyDescent="0.3">
      <c r="A21" s="977" t="s">
        <v>658</v>
      </c>
      <c r="B21" s="978"/>
      <c r="C21" s="978"/>
      <c r="D21" s="978"/>
      <c r="E21" s="979"/>
      <c r="G21" s="970"/>
      <c r="H21" s="970"/>
      <c r="I21" s="971"/>
    </row>
    <row r="22" spans="1:9" ht="15.75" x14ac:dyDescent="0.25">
      <c r="A22" s="788" t="s">
        <v>78</v>
      </c>
      <c r="B22" s="789">
        <f>+D23</f>
        <v>396.5</v>
      </c>
      <c r="C22" s="790">
        <f>IF(B22&lt;272,70,47)</f>
        <v>47</v>
      </c>
      <c r="D22" s="791" t="s">
        <v>79</v>
      </c>
      <c r="E22" s="792" t="s">
        <v>80</v>
      </c>
      <c r="G22" s="970"/>
      <c r="H22" s="970"/>
      <c r="I22" s="971"/>
    </row>
    <row r="23" spans="1:9" ht="15" x14ac:dyDescent="0.2">
      <c r="A23" s="793" t="s">
        <v>81</v>
      </c>
      <c r="B23" s="794">
        <f>(D5-D6-D7-D8-C22-17-D9+D8)/1.5</f>
        <v>475.33333333333331</v>
      </c>
      <c r="C23" s="795">
        <f>IF(B23&lt;272,70,47)</f>
        <v>47</v>
      </c>
      <c r="D23" s="796">
        <f>IF(B14&lt;236,C14,IF(B14&gt;516,C14,B14))</f>
        <v>396.5</v>
      </c>
      <c r="E23" s="797">
        <f>IF(C14=D14,C14,IF(B27&lt;B26,B27,B26))</f>
        <v>475.33333333333331</v>
      </c>
      <c r="G23" s="970"/>
      <c r="H23" s="970"/>
      <c r="I23" s="971"/>
    </row>
    <row r="24" spans="1:9" ht="15.75" thickBot="1" x14ac:dyDescent="0.25">
      <c r="A24" s="798" t="s">
        <v>75</v>
      </c>
      <c r="B24" s="799">
        <f>(D5-D6-D7-D8-C23-17-D9+D8)/1.5</f>
        <v>475.33333333333331</v>
      </c>
      <c r="C24" s="800">
        <f>IF(B24&lt;272,70,47)</f>
        <v>47</v>
      </c>
      <c r="D24" s="801">
        <f>IF(C14=D14,C14,(+D5-D6-D7-D8)/2)</f>
        <v>396.5</v>
      </c>
      <c r="E24" s="802">
        <f>+D5-D6-D7-D8-E23</f>
        <v>317.66666666666669</v>
      </c>
      <c r="G24" s="970"/>
      <c r="H24" s="970"/>
      <c r="I24" s="971"/>
    </row>
    <row r="25" spans="1:9" ht="15.75" x14ac:dyDescent="0.25">
      <c r="A25" s="803" t="s">
        <v>66</v>
      </c>
      <c r="B25" s="804">
        <f>(D5-D6-D7-D8-C24-17-D9+D8)/1.5</f>
        <v>475.33333333333331</v>
      </c>
      <c r="C25" s="805">
        <f>IF(B25&lt;272,70,47)</f>
        <v>47</v>
      </c>
      <c r="D25" s="806"/>
      <c r="E25" s="807"/>
      <c r="G25" s="970"/>
      <c r="H25" s="970"/>
      <c r="I25" s="971"/>
    </row>
    <row r="26" spans="1:9" ht="15" x14ac:dyDescent="0.2">
      <c r="A26" s="808" t="s">
        <v>74</v>
      </c>
      <c r="B26" s="776">
        <f>(D5-D6-D7-D8-C25-17-D9+D8)/1.5</f>
        <v>475.33333333333331</v>
      </c>
      <c r="C26" s="777"/>
      <c r="D26" s="781">
        <v>475</v>
      </c>
      <c r="E26" s="782" t="s">
        <v>68</v>
      </c>
      <c r="G26" s="970"/>
      <c r="H26" s="970"/>
      <c r="I26" s="971"/>
    </row>
    <row r="27" spans="1:9" ht="15" x14ac:dyDescent="0.2">
      <c r="A27" s="809" t="s">
        <v>75</v>
      </c>
      <c r="B27" s="810">
        <f>+(1040-D6-D7-D8)/2</f>
        <v>516.5</v>
      </c>
      <c r="C27" s="811" t="s">
        <v>550</v>
      </c>
      <c r="D27" s="796">
        <f>IF(D26&lt;D23,C27,IF(D26&gt;E23,C27,+D5-D6-D7-D8-D26))</f>
        <v>318</v>
      </c>
      <c r="E27" s="812" t="s">
        <v>68</v>
      </c>
      <c r="G27" s="970"/>
      <c r="H27" s="970"/>
      <c r="I27" s="971"/>
    </row>
    <row r="28" spans="1:9" ht="15" x14ac:dyDescent="0.2">
      <c r="A28" s="809" t="s">
        <v>76</v>
      </c>
      <c r="B28" s="794"/>
      <c r="C28" s="795">
        <f>IF(D26&lt;272,28,57)</f>
        <v>57</v>
      </c>
      <c r="D28" s="796">
        <f>IF(D27=C27, C27,D26*0.6-C28+D6)</f>
        <v>230</v>
      </c>
      <c r="E28" s="812" t="s">
        <v>68</v>
      </c>
      <c r="G28" s="970"/>
      <c r="H28" s="970"/>
      <c r="I28" s="971"/>
    </row>
    <row r="29" spans="1:9" ht="15.75" thickBot="1" x14ac:dyDescent="0.25">
      <c r="A29" s="813" t="s">
        <v>82</v>
      </c>
      <c r="B29" s="799"/>
      <c r="C29" s="800">
        <f>IF(D26&lt;272,70,47)</f>
        <v>47</v>
      </c>
      <c r="D29" s="801">
        <f>IF(D27=C27,C27,D26*0.5+C29)</f>
        <v>284.5</v>
      </c>
      <c r="E29" s="814" t="s">
        <v>68</v>
      </c>
      <c r="G29" s="970"/>
      <c r="H29" s="970"/>
      <c r="I29" s="971"/>
    </row>
    <row r="30" spans="1:9" x14ac:dyDescent="0.2">
      <c r="A30" s="131"/>
      <c r="B30" s="9"/>
      <c r="C30" s="9"/>
      <c r="G30" s="970"/>
      <c r="H30" s="970"/>
      <c r="I30" s="971"/>
    </row>
    <row r="31" spans="1:9" ht="13.5" thickBot="1" x14ac:dyDescent="0.25">
      <c r="A31" s="132"/>
      <c r="B31" s="133"/>
      <c r="C31" s="133"/>
      <c r="D31" s="134"/>
      <c r="E31" s="134"/>
      <c r="F31" s="134"/>
      <c r="G31" s="972"/>
      <c r="H31" s="972"/>
      <c r="I31" s="973"/>
    </row>
    <row r="32" spans="1:9" x14ac:dyDescent="0.2">
      <c r="A32" s="150"/>
      <c r="B32" s="9"/>
      <c r="C32" s="9"/>
    </row>
    <row r="33" spans="2:3" x14ac:dyDescent="0.2">
      <c r="B33" s="9"/>
      <c r="C33" s="9"/>
    </row>
    <row r="34" spans="2:3" x14ac:dyDescent="0.2">
      <c r="B34" s="10"/>
      <c r="C34" s="10"/>
    </row>
    <row r="35" spans="2:3" x14ac:dyDescent="0.2">
      <c r="B35" s="10"/>
      <c r="C35" s="10"/>
    </row>
  </sheetData>
  <sheetProtection algorithmName="SHA-512" hashValue="pocchsudCcvTNKrQhWzL9s/yCybdPrxP0fB7grieXbmaW7fKIiGiKG7KMXDmPOuQzY7CBH8g/2bn0fW9mIrwfg==" saltValue="+6hlDVOX1DtIwWMOBI9pkw==" spinCount="100000" sheet="1" formatCells="0" formatColumns="0" formatRows="0" insertColumns="0" insertRows="0" insertHyperlinks="0" deleteColumns="0" deleteRows="0" sort="0" autoFilter="0" pivotTables="0"/>
  <protectedRanges>
    <protectedRange sqref="D26" name="Диапазон2"/>
    <protectedRange sqref="D5:D9" name="Диапазон1"/>
  </protectedRanges>
  <customSheetViews>
    <customSheetView guid="{A25B6F15-9B48-4230-9C30-183637D1319E}" showGridLines="0" hiddenColumns="1">
      <selection activeCell="D17" sqref="D17"/>
      <pageMargins left="0.75" right="0.75" top="1" bottom="1" header="0.5" footer="0.5"/>
      <headerFooter alignWithMargins="0"/>
    </customSheetView>
  </customSheetViews>
  <mergeCells count="6">
    <mergeCell ref="G3:I31"/>
    <mergeCell ref="A13:E13"/>
    <mergeCell ref="A21:E21"/>
    <mergeCell ref="A4:E4"/>
    <mergeCell ref="A1:I1"/>
    <mergeCell ref="A2:I2"/>
  </mergeCells>
  <phoneticPr fontId="14" type="noConversion"/>
  <conditionalFormatting sqref="D14:D17 D27:D29 D23:E24">
    <cfRule type="cellIs" dxfId="129" priority="1" stopIfTrue="1" operator="equal">
      <formula>$C$27</formula>
    </cfRule>
  </conditionalFormatting>
  <hyperlinks>
    <hyperlink ref="J1" location="Содержание!R1C1" display="← СОДЕРЖАНИЕ:" xr:uid="{00000000-0004-0000-0200-000000000000}"/>
  </hyperlink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H127"/>
  <sheetViews>
    <sheetView showGridLines="0" topLeftCell="A49" workbookViewId="0">
      <selection activeCell="I17" sqref="I17"/>
    </sheetView>
  </sheetViews>
  <sheetFormatPr defaultRowHeight="12.75" x14ac:dyDescent="0.2"/>
  <cols>
    <col min="1" max="1" width="22.28515625" customWidth="1"/>
    <col min="2" max="2" width="16" customWidth="1"/>
    <col min="3" max="3" width="16.140625" customWidth="1"/>
    <col min="4" max="4" width="17" customWidth="1"/>
    <col min="5" max="5" width="15.42578125" customWidth="1"/>
    <col min="6" max="6" width="15.28515625" customWidth="1"/>
    <col min="7" max="7" width="16.140625" customWidth="1"/>
    <col min="8" max="8" width="19.140625" customWidth="1"/>
  </cols>
  <sheetData>
    <row r="1" spans="8:8" ht="43.5" customHeight="1" thickBot="1" x14ac:dyDescent="0.25">
      <c r="H1" s="434" t="s">
        <v>544</v>
      </c>
    </row>
    <row r="2" spans="8:8" ht="12.95" customHeight="1" x14ac:dyDescent="0.2"/>
    <row r="3" spans="8:8" ht="12.95" customHeight="1" x14ac:dyDescent="0.2"/>
    <row r="4" spans="8:8" ht="12.95" customHeight="1" x14ac:dyDescent="0.2"/>
    <row r="5" spans="8:8" ht="12.95" customHeight="1" x14ac:dyDescent="0.2"/>
    <row r="6" spans="8:8" ht="12.95" customHeight="1" x14ac:dyDescent="0.2"/>
    <row r="7" spans="8:8" ht="12.95" customHeight="1" x14ac:dyDescent="0.2"/>
    <row r="8" spans="8:8" ht="12.95" customHeight="1" x14ac:dyDescent="0.2"/>
    <row r="9" spans="8:8" ht="12.95" customHeight="1" x14ac:dyDescent="0.2"/>
    <row r="10" spans="8:8" ht="12.95" customHeight="1" x14ac:dyDescent="0.2"/>
    <row r="11" spans="8:8" ht="12.95" customHeight="1" x14ac:dyDescent="0.2"/>
    <row r="12" spans="8:8" ht="12.95" customHeight="1" x14ac:dyDescent="0.2"/>
    <row r="13" spans="8:8" ht="12.95" customHeight="1" x14ac:dyDescent="0.2"/>
    <row r="14" spans="8:8" ht="12.95" customHeight="1" x14ac:dyDescent="0.2"/>
    <row r="15" spans="8:8" ht="12.95" customHeight="1" x14ac:dyDescent="0.2"/>
    <row r="16" spans="8:8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2.95" customHeight="1" x14ac:dyDescent="0.2"/>
    <row r="27" ht="12.95" customHeight="1" x14ac:dyDescent="0.2"/>
    <row r="28" ht="12.95" customHeight="1" x14ac:dyDescent="0.2"/>
    <row r="29" ht="12.95" customHeight="1" x14ac:dyDescent="0.2"/>
    <row r="30" ht="12.95" customHeight="1" x14ac:dyDescent="0.2"/>
    <row r="31" ht="12.95" customHeight="1" x14ac:dyDescent="0.2"/>
    <row r="32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spans="1:1" ht="12.95" customHeight="1" x14ac:dyDescent="0.2"/>
    <row r="50" spans="1:1" ht="12.95" customHeight="1" x14ac:dyDescent="0.2"/>
    <row r="51" spans="1:1" ht="12.95" customHeight="1" x14ac:dyDescent="0.2"/>
    <row r="52" spans="1:1" ht="12.95" customHeight="1" x14ac:dyDescent="0.2"/>
    <row r="53" spans="1:1" ht="12.95" customHeight="1" x14ac:dyDescent="0.2"/>
    <row r="54" spans="1:1" ht="12.95" customHeight="1" x14ac:dyDescent="0.2"/>
    <row r="55" spans="1:1" ht="12.95" customHeight="1" x14ac:dyDescent="0.2"/>
    <row r="56" spans="1:1" ht="12.95" customHeight="1" x14ac:dyDescent="0.2"/>
    <row r="57" spans="1:1" ht="12.95" customHeight="1" x14ac:dyDescent="0.2"/>
    <row r="58" spans="1:1" ht="12.95" customHeight="1" x14ac:dyDescent="0.2"/>
    <row r="59" spans="1:1" ht="12.95" customHeight="1" x14ac:dyDescent="0.2"/>
    <row r="60" spans="1:1" ht="12.95" customHeight="1" x14ac:dyDescent="0.2"/>
    <row r="61" spans="1:1" ht="12.95" customHeight="1" x14ac:dyDescent="0.2"/>
    <row r="62" spans="1:1" ht="12.95" customHeight="1" x14ac:dyDescent="0.2"/>
    <row r="63" spans="1:1" ht="12.95" customHeight="1" x14ac:dyDescent="0.2"/>
    <row r="64" spans="1:1" ht="65.099999999999994" customHeight="1" x14ac:dyDescent="0.2">
      <c r="A64" s="439"/>
    </row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spans="1:1" ht="12.95" customHeight="1" x14ac:dyDescent="0.2"/>
    <row r="114" spans="1:1" ht="12.95" customHeight="1" x14ac:dyDescent="0.2"/>
    <row r="115" spans="1:1" ht="12.95" customHeight="1" x14ac:dyDescent="0.2"/>
    <row r="116" spans="1:1" ht="12.95" customHeight="1" x14ac:dyDescent="0.2"/>
    <row r="117" spans="1:1" ht="12.95" customHeight="1" x14ac:dyDescent="0.2"/>
    <row r="118" spans="1:1" ht="12.95" customHeight="1" x14ac:dyDescent="0.2"/>
    <row r="119" spans="1:1" ht="12.95" customHeight="1" x14ac:dyDescent="0.2"/>
    <row r="120" spans="1:1" ht="12.95" customHeight="1" x14ac:dyDescent="0.2"/>
    <row r="121" spans="1:1" ht="12.95" customHeight="1" x14ac:dyDescent="0.2"/>
    <row r="122" spans="1:1" ht="12.95" customHeight="1" x14ac:dyDescent="0.2"/>
    <row r="123" spans="1:1" ht="12.95" customHeight="1" x14ac:dyDescent="0.2"/>
    <row r="124" spans="1:1" ht="12.95" customHeight="1" x14ac:dyDescent="0.2"/>
    <row r="125" spans="1:1" ht="12.95" customHeight="1" x14ac:dyDescent="0.2"/>
    <row r="126" spans="1:1" ht="12.95" customHeight="1" x14ac:dyDescent="0.2"/>
    <row r="127" spans="1:1" s="40" customFormat="1" ht="60" customHeight="1" x14ac:dyDescent="0.2">
      <c r="A127" s="439"/>
    </row>
  </sheetData>
  <sheetProtection algorithmName="SHA-512" hashValue="eKucy7oEq7ENdqy+qVpvLV3fqIf9tFV5BCaN71U68xucB5qrkyntuCBPibD2vCr6Jap7D5QQiq/gCkw62wjQRQ==" saltValue="yycyCE3KvtPHKOdbySITSw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howGridLines="0" fitToPage="1" topLeftCell="A16">
      <selection activeCell="C33" sqref="C33"/>
      <pageMargins left="0.19685039370078741" right="0.19685039370078741" top="0.19685039370078741" bottom="0.19685039370078741" header="0.51181102362204722" footer="0.51181102362204722"/>
      <pageSetup paperSize="9" scale="94" fitToHeight="2" orientation="portrait" r:id="rId1"/>
      <headerFooter alignWithMargins="0"/>
    </customSheetView>
  </customSheetViews>
  <phoneticPr fontId="14" type="noConversion"/>
  <hyperlinks>
    <hyperlink ref="H1" location="Содержание!R1C1" display="← СОДЕРЖАНИЕ:" xr:uid="{00000000-0004-0000-0300-000000000000}"/>
  </hyperlinks>
  <pageMargins left="0.19685039370078741" right="0.19685039370078741" top="0.19685039370078741" bottom="0.19685039370078741" header="0.51181102362204722" footer="0.51181102362204722"/>
  <pageSetup paperSize="9" scale="94" fitToHeight="2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366B-F97B-4F23-9AAC-0C73DD4651DD}">
  <sheetPr codeName="Лист5">
    <tabColor indexed="13"/>
  </sheetPr>
  <dimension ref="A1:P64"/>
  <sheetViews>
    <sheetView showGridLines="0" zoomScaleNormal="100" workbookViewId="0">
      <selection activeCell="M8" sqref="M8"/>
    </sheetView>
  </sheetViews>
  <sheetFormatPr defaultRowHeight="12.75" x14ac:dyDescent="0.2"/>
  <cols>
    <col min="1" max="1" width="21.7109375" style="579" customWidth="1"/>
    <col min="2" max="2" width="14" style="579" customWidth="1"/>
    <col min="3" max="3" width="15.28515625" style="579" customWidth="1"/>
    <col min="4" max="4" width="14" style="579" customWidth="1"/>
    <col min="5" max="5" width="10.140625" style="579" customWidth="1"/>
    <col min="6" max="6" width="23.42578125" style="649" customWidth="1"/>
    <col min="7" max="7" width="17.28515625" style="579" customWidth="1"/>
    <col min="8" max="8" width="18.5703125" style="579" customWidth="1"/>
    <col min="9" max="9" width="15.42578125" style="579" customWidth="1"/>
    <col min="10" max="10" width="18.5703125" style="579" customWidth="1"/>
    <col min="11" max="11" width="16.140625" style="579" customWidth="1"/>
    <col min="12" max="12" width="14.85546875" style="579" customWidth="1"/>
    <col min="13" max="13" width="19.140625" style="579" customWidth="1"/>
    <col min="14" max="14" width="10.7109375" style="579" customWidth="1"/>
    <col min="15" max="15" width="14.7109375" style="579" customWidth="1"/>
    <col min="16" max="16384" width="9.140625" style="579"/>
  </cols>
  <sheetData>
    <row r="1" spans="1:16" ht="48" customHeight="1" thickBot="1" x14ac:dyDescent="0.25">
      <c r="A1" s="996"/>
      <c r="B1" s="997"/>
      <c r="C1" s="997"/>
      <c r="D1" s="997"/>
      <c r="E1" s="997"/>
      <c r="F1" s="997"/>
      <c r="G1" s="998"/>
      <c r="H1" s="998"/>
      <c r="I1" s="998"/>
      <c r="J1" s="998"/>
      <c r="K1" s="998"/>
      <c r="L1" s="998"/>
      <c r="M1" s="440" t="s">
        <v>544</v>
      </c>
    </row>
    <row r="2" spans="1:16" ht="18.75" customHeight="1" thickBot="1" x14ac:dyDescent="0.25">
      <c r="A2" s="999" t="s">
        <v>382</v>
      </c>
      <c r="B2" s="1000"/>
      <c r="C2" s="1000"/>
      <c r="D2" s="1000"/>
      <c r="E2" s="1000"/>
      <c r="F2" s="1000"/>
      <c r="G2" s="1000"/>
      <c r="H2" s="1000"/>
      <c r="I2" s="1000"/>
      <c r="J2" s="1000"/>
      <c r="K2" s="1000"/>
      <c r="L2" s="580"/>
      <c r="M2" s="581"/>
    </row>
    <row r="3" spans="1:16" ht="39.75" customHeight="1" thickBot="1" x14ac:dyDescent="0.25">
      <c r="A3" s="582" t="s">
        <v>340</v>
      </c>
      <c r="B3" s="583" t="s">
        <v>585</v>
      </c>
      <c r="C3" s="584" t="s">
        <v>33</v>
      </c>
      <c r="D3" s="584" t="s">
        <v>32</v>
      </c>
      <c r="E3" s="585" t="s">
        <v>416</v>
      </c>
      <c r="F3" s="586" t="s">
        <v>40</v>
      </c>
      <c r="G3" s="1001" t="s">
        <v>380</v>
      </c>
      <c r="H3" s="1002"/>
      <c r="I3" s="1002"/>
      <c r="J3" s="1003"/>
      <c r="K3" s="587"/>
      <c r="L3" s="588"/>
      <c r="M3" s="581"/>
    </row>
    <row r="4" spans="1:16" ht="33.75" customHeight="1" thickBot="1" x14ac:dyDescent="0.35">
      <c r="A4" s="589" t="s">
        <v>588</v>
      </c>
      <c r="B4" s="590">
        <v>48</v>
      </c>
      <c r="C4" s="591">
        <v>800</v>
      </c>
      <c r="D4" s="592">
        <v>1800</v>
      </c>
      <c r="E4" s="593">
        <v>0</v>
      </c>
      <c r="F4" s="658">
        <f>(C4/1000)*(D4/1000)*B4*(680/1000)+(E4/1000)</f>
        <v>47.001600000000003</v>
      </c>
      <c r="G4" s="993" t="str">
        <f t="shared" ref="G4:G9" si="0">IF(C4&lt;350,"увеличьте высоту фасада (мин.350 мм)",IF(AND(C4&lt;405,F4&lt;4.25),"АVENTOS HS - тип: A (20S2A01)",IF(AND(C4&lt;405,F4&lt;8.75),"АVENTOS HS - тип: B (20S2B01)",IF(AND(C4&lt;405,F4&lt;11),"АVENTOS HS - тип: С (20S2B01)",IF(AND(C4&lt;455,F4&lt;4.25),"АVENTOS HS - тип: A (20S2A01)",IF(AND(C4&lt;455,F4&lt;8.5),"АVENTOS HS - тип: B (20S2B01)",IF(AND(C4&lt;455,F4&lt;13.5),"АVENTOS HS - тип: С (20S2B01)",IF(AND(C4&lt;505,F4&lt;4.25),"АVENTOS HS - тип: A (20S2A01)",IF(AND(C4&lt;505,F4&lt;8),"АVENTOS HS - тип: B (20S2B01)",IF(AND(C4&lt;505,F4&lt;14.75),"АVENTOS HS - тип: С (20S2B01)",IF(AND(C4&lt;526,F4&lt;4),"АVENTOS HS - тип: A (20S2A01)",IF(AND(C4&lt;526,F4&lt;7.5),"АVENTOS HS - тип: B (20S2B01)",IF(AND(C4&lt;526,F4&lt;15.1),"АVENTOS HS - тип: С (20S2B01)",IF(AND(C4&lt;565,F4&lt;6.5),"АVENTOS HS - тип: D (20S2D01)",IF(AND(C4&lt;565,F4&lt;12.26),"АVENTOS HS - тип: E (20S2E01)",IF(AND(C4&lt;565,F4&lt;17.26),"АVENTOS HS - тип: F (20S2F01)",IF(AND(C4&lt;615,F4&lt;6),"АVENTOS HS - тип: D (20S2D01)",IF(AND(C4&lt;615,F4&lt;11.76),"АVENTOS HS - тип: E (20S2E01)",IF(AND(C4&lt;615,F4&lt;18.51),"АVENTOS HS - тип: F (20S2F01)",IF(AND(C4&lt;676,F4&lt;5.26),"АVENTOS HS - тип: D (20S2D01)",IF(AND(C4&lt;676,F4&lt;11.26),"АVENTOS HS - тип: E (20S2E01)",IF(AND(C4&lt;676,F4&lt;19.1),"АVENTOS HS - тип: F (20S2F01)",IF(AND(C4&lt;715,F4&lt;7.5),"АVENTOS HS - тип: G (20S2G01)",IF(AND(C4&lt;715,F4&lt;13),"АVENTOS HS - тип: H (20S2H01)",IF(AND(C4&lt;715,F4&lt;21.5),"АVENTOS HS - тип: I (20S2I01)",IF(AND(C4&lt;740,F4&lt;7.5),"АVENTOS HS - тип: G (20S2G01)",IF(AND(C4&lt;740,F4&lt;13),"АVENTOS HS - тип: H (20S2H01)",IF(AND(C4&lt;740,F4&lt;20.76),"АVENTOS HS - тип: I (20S2I01)",IF(AND(C4&lt;801,F4&lt;7),"АVENTOS HS - тип: G (20S2G01)",IF(AND(C4&lt;801,F4&lt;12),"АVENTOS HS - тип: H (20S2H01)",IF(AND(C4&lt;801,F4&lt;20.1),"АVENTOS HS - тип: I (20S2I01)",
IF(C4&gt;800,"уменьшите высоту фасада (макс. 800 мм)",IF(F4&gt;20,"очень тяжёлый фасад",)))))))))))))))))))))))))))))))))</f>
        <v>очень тяжёлый фасад</v>
      </c>
      <c r="H4" s="994"/>
      <c r="I4" s="994"/>
      <c r="J4" s="995"/>
      <c r="K4" s="594"/>
      <c r="L4" s="595"/>
      <c r="M4" s="581"/>
      <c r="N4"/>
    </row>
    <row r="5" spans="1:16" ht="34.5" customHeight="1" thickBot="1" x14ac:dyDescent="0.35">
      <c r="A5" s="596" t="s">
        <v>589</v>
      </c>
      <c r="B5" s="597">
        <v>22</v>
      </c>
      <c r="C5" s="598">
        <v>420</v>
      </c>
      <c r="D5" s="599">
        <v>1200</v>
      </c>
      <c r="E5" s="599">
        <v>0</v>
      </c>
      <c r="F5" s="659">
        <f>(C5/1000)*(D5/1000)*B5*(760/1000)+(E5/1000)</f>
        <v>8.4268800000000006</v>
      </c>
      <c r="G5" s="993" t="str">
        <f t="shared" si="0"/>
        <v>АVENTOS HS - тип: B (20S2B01)</v>
      </c>
      <c r="H5" s="994"/>
      <c r="I5" s="994"/>
      <c r="J5" s="995"/>
      <c r="K5" s="600"/>
      <c r="L5" s="601"/>
      <c r="M5" s="581"/>
    </row>
    <row r="6" spans="1:16" ht="27" customHeight="1" thickBot="1" x14ac:dyDescent="0.35">
      <c r="A6" s="991" t="s">
        <v>89</v>
      </c>
      <c r="B6" s="992"/>
      <c r="C6" s="602">
        <v>600</v>
      </c>
      <c r="D6" s="592">
        <v>650</v>
      </c>
      <c r="E6" s="593">
        <v>0</v>
      </c>
      <c r="F6" s="658">
        <f>(C6-4)/1000*(D6-4)/1000*(11.5+0.6)+ (E6/1000)</f>
        <v>4.6586935999999994</v>
      </c>
      <c r="G6" s="993" t="str">
        <f t="shared" si="0"/>
        <v>АVENTOS HS - тип: D (20S2D01)</v>
      </c>
      <c r="H6" s="994"/>
      <c r="I6" s="994"/>
      <c r="J6" s="995"/>
      <c r="K6" s="600"/>
      <c r="L6" s="601"/>
      <c r="M6" s="581"/>
    </row>
    <row r="7" spans="1:16" ht="27" customHeight="1" thickBot="1" x14ac:dyDescent="0.35">
      <c r="A7" s="1009" t="s">
        <v>90</v>
      </c>
      <c r="B7" s="992"/>
      <c r="C7" s="598">
        <v>600</v>
      </c>
      <c r="D7" s="599">
        <v>0</v>
      </c>
      <c r="E7" s="599">
        <v>0</v>
      </c>
      <c r="F7" s="659">
        <f>(C7-4)/1000*(D7-4)/1000*(11.5+0.6)+ (E7/1000)</f>
        <v>-2.8846399999999998E-2</v>
      </c>
      <c r="G7" s="993" t="str">
        <f t="shared" si="0"/>
        <v>АVENTOS HS - тип: D (20S2D01)</v>
      </c>
      <c r="H7" s="994"/>
      <c r="I7" s="994"/>
      <c r="J7" s="995"/>
      <c r="K7" s="600"/>
      <c r="L7" s="601"/>
      <c r="M7" s="581"/>
    </row>
    <row r="8" spans="1:16" ht="27" customHeight="1" thickBot="1" x14ac:dyDescent="0.35">
      <c r="A8" s="1010" t="s">
        <v>404</v>
      </c>
      <c r="B8" s="992"/>
      <c r="C8" s="602">
        <v>600</v>
      </c>
      <c r="D8" s="592">
        <v>0</v>
      </c>
      <c r="E8" s="593">
        <v>0</v>
      </c>
      <c r="F8" s="658">
        <f>(C8-4)/1000*(D8-4)/1000*(8.8+0.4)+ (E8/1000)</f>
        <v>-2.1932800000000002E-2</v>
      </c>
      <c r="G8" s="993" t="str">
        <f t="shared" si="0"/>
        <v>АVENTOS HS - тип: D (20S2D01)</v>
      </c>
      <c r="H8" s="994"/>
      <c r="I8" s="994"/>
      <c r="J8" s="995"/>
      <c r="K8" s="600"/>
      <c r="L8" s="601"/>
      <c r="M8" s="581"/>
    </row>
    <row r="9" spans="1:16" ht="31.5" customHeight="1" thickBot="1" x14ac:dyDescent="0.35">
      <c r="A9" s="1011" t="s">
        <v>538</v>
      </c>
      <c r="B9" s="1012"/>
      <c r="C9" s="598">
        <v>600</v>
      </c>
      <c r="D9" s="597">
        <v>0</v>
      </c>
      <c r="E9" s="597">
        <v>0</v>
      </c>
      <c r="F9" s="659">
        <f>(C9)/1000*(D9)/1000*4*(2500/1000)+(C9)/1000*(D9)/1000*16*(680/1000)+E9/1000</f>
        <v>0</v>
      </c>
      <c r="G9" s="993" t="str">
        <f t="shared" si="0"/>
        <v>АVENTOS HS - тип: D (20S2D01)</v>
      </c>
      <c r="H9" s="994"/>
      <c r="I9" s="994"/>
      <c r="J9" s="995"/>
      <c r="K9" s="603"/>
      <c r="L9" s="604"/>
      <c r="M9" s="581"/>
    </row>
    <row r="10" spans="1:16" ht="15" customHeight="1" thickBot="1" x14ac:dyDescent="0.35">
      <c r="A10" s="605" t="s">
        <v>444</v>
      </c>
      <c r="B10" s="606"/>
      <c r="C10" s="606"/>
      <c r="D10" s="606"/>
      <c r="E10" s="606"/>
      <c r="F10" s="606"/>
      <c r="G10" s="581"/>
      <c r="H10" s="581"/>
      <c r="I10" s="581"/>
      <c r="J10" s="581"/>
      <c r="K10" s="581"/>
      <c r="L10" s="581"/>
      <c r="M10" s="581"/>
      <c r="O10" s="667"/>
    </row>
    <row r="11" spans="1:16" ht="17.25" customHeight="1" thickBot="1" x14ac:dyDescent="0.25">
      <c r="A11" s="1015" t="s">
        <v>33</v>
      </c>
      <c r="B11" s="1006" t="s">
        <v>379</v>
      </c>
      <c r="C11" s="1007"/>
      <c r="D11" s="1008"/>
      <c r="E11" s="1004" t="s">
        <v>33</v>
      </c>
      <c r="F11" s="1006" t="s">
        <v>379</v>
      </c>
      <c r="G11" s="1007"/>
      <c r="H11" s="1008"/>
      <c r="I11" s="1004" t="s">
        <v>33</v>
      </c>
      <c r="J11" s="1006" t="s">
        <v>379</v>
      </c>
      <c r="K11" s="1007"/>
      <c r="L11" s="1008"/>
      <c r="M11" s="581"/>
    </row>
    <row r="12" spans="1:16" ht="49.5" customHeight="1" thickBot="1" x14ac:dyDescent="0.25">
      <c r="A12" s="1016"/>
      <c r="B12" s="607" t="s">
        <v>372</v>
      </c>
      <c r="C12" s="607" t="s">
        <v>373</v>
      </c>
      <c r="D12" s="608" t="s">
        <v>374</v>
      </c>
      <c r="E12" s="1017"/>
      <c r="F12" s="609" t="s">
        <v>405</v>
      </c>
      <c r="G12" s="610" t="s">
        <v>375</v>
      </c>
      <c r="H12" s="611" t="s">
        <v>376</v>
      </c>
      <c r="I12" s="1005"/>
      <c r="J12" s="609" t="s">
        <v>406</v>
      </c>
      <c r="K12" s="610" t="s">
        <v>377</v>
      </c>
      <c r="L12" s="611" t="s">
        <v>378</v>
      </c>
      <c r="M12" s="581"/>
      <c r="O12" s="668"/>
      <c r="P12" s="613"/>
    </row>
    <row r="13" spans="1:16" ht="18" customHeight="1" x14ac:dyDescent="0.2">
      <c r="A13" s="614">
        <v>350</v>
      </c>
      <c r="B13" s="615" t="s">
        <v>93</v>
      </c>
      <c r="C13" s="615" t="s">
        <v>94</v>
      </c>
      <c r="D13" s="616" t="s">
        <v>95</v>
      </c>
      <c r="E13" s="663">
        <v>526</v>
      </c>
      <c r="F13" s="617" t="s">
        <v>137</v>
      </c>
      <c r="G13" s="618" t="s">
        <v>138</v>
      </c>
      <c r="H13" s="619" t="s">
        <v>140</v>
      </c>
      <c r="I13" s="665">
        <v>676</v>
      </c>
      <c r="J13" s="618" t="s">
        <v>200</v>
      </c>
      <c r="K13" s="618" t="s">
        <v>207</v>
      </c>
      <c r="L13" s="619" t="s">
        <v>231</v>
      </c>
      <c r="M13" s="581"/>
    </row>
    <row r="14" spans="1:16" ht="15" x14ac:dyDescent="0.2">
      <c r="A14" s="620">
        <v>355</v>
      </c>
      <c r="B14" s="621" t="s">
        <v>96</v>
      </c>
      <c r="C14" s="621" t="s">
        <v>94</v>
      </c>
      <c r="D14" s="622" t="s">
        <v>95</v>
      </c>
      <c r="E14" s="623">
        <v>530</v>
      </c>
      <c r="F14" s="624" t="s">
        <v>137</v>
      </c>
      <c r="G14" s="625" t="s">
        <v>139</v>
      </c>
      <c r="H14" s="626" t="s">
        <v>141</v>
      </c>
      <c r="I14" s="627">
        <v>680</v>
      </c>
      <c r="J14" s="625" t="s">
        <v>200</v>
      </c>
      <c r="K14" s="625" t="s">
        <v>207</v>
      </c>
      <c r="L14" s="626" t="s">
        <v>231</v>
      </c>
      <c r="M14" s="581"/>
    </row>
    <row r="15" spans="1:16" ht="15" x14ac:dyDescent="0.2">
      <c r="A15" s="620">
        <v>360</v>
      </c>
      <c r="B15" s="621" t="s">
        <v>96</v>
      </c>
      <c r="C15" s="621" t="s">
        <v>94</v>
      </c>
      <c r="D15" s="622" t="s">
        <v>100</v>
      </c>
      <c r="E15" s="623">
        <v>535</v>
      </c>
      <c r="F15" s="624" t="s">
        <v>137</v>
      </c>
      <c r="G15" s="625" t="s">
        <v>139</v>
      </c>
      <c r="H15" s="626" t="s">
        <v>141</v>
      </c>
      <c r="I15" s="627">
        <v>685</v>
      </c>
      <c r="J15" s="625" t="s">
        <v>200</v>
      </c>
      <c r="K15" s="625" t="s">
        <v>208</v>
      </c>
      <c r="L15" s="626" t="s">
        <v>230</v>
      </c>
      <c r="M15" s="581"/>
    </row>
    <row r="16" spans="1:16" ht="15" x14ac:dyDescent="0.2">
      <c r="A16" s="620">
        <v>365</v>
      </c>
      <c r="B16" s="621" t="s">
        <v>96</v>
      </c>
      <c r="C16" s="621" t="s">
        <v>97</v>
      </c>
      <c r="D16" s="622" t="s">
        <v>101</v>
      </c>
      <c r="E16" s="623">
        <v>540</v>
      </c>
      <c r="F16" s="624" t="s">
        <v>142</v>
      </c>
      <c r="G16" s="625" t="s">
        <v>143</v>
      </c>
      <c r="H16" s="626" t="s">
        <v>149</v>
      </c>
      <c r="I16" s="627">
        <v>690</v>
      </c>
      <c r="J16" s="625" t="s">
        <v>201</v>
      </c>
      <c r="K16" s="625" t="s">
        <v>209</v>
      </c>
      <c r="L16" s="626" t="s">
        <v>230</v>
      </c>
      <c r="M16" s="581"/>
    </row>
    <row r="17" spans="1:14" ht="15" x14ac:dyDescent="0.2">
      <c r="A17" s="620">
        <v>370</v>
      </c>
      <c r="B17" s="621" t="s">
        <v>96</v>
      </c>
      <c r="C17" s="621" t="s">
        <v>97</v>
      </c>
      <c r="D17" s="622" t="s">
        <v>101</v>
      </c>
      <c r="E17" s="623">
        <v>545</v>
      </c>
      <c r="F17" s="624" t="s">
        <v>142</v>
      </c>
      <c r="G17" s="625" t="s">
        <v>144</v>
      </c>
      <c r="H17" s="626" t="s">
        <v>148</v>
      </c>
      <c r="I17" s="627">
        <v>695</v>
      </c>
      <c r="J17" s="625" t="s">
        <v>201</v>
      </c>
      <c r="K17" s="625" t="s">
        <v>209</v>
      </c>
      <c r="L17" s="626" t="s">
        <v>229</v>
      </c>
      <c r="M17" s="581"/>
    </row>
    <row r="18" spans="1:14" ht="15" x14ac:dyDescent="0.2">
      <c r="A18" s="620">
        <v>375</v>
      </c>
      <c r="B18" s="621" t="s">
        <v>96</v>
      </c>
      <c r="C18" s="621" t="s">
        <v>97</v>
      </c>
      <c r="D18" s="622" t="s">
        <v>102</v>
      </c>
      <c r="E18" s="628">
        <v>550</v>
      </c>
      <c r="F18" s="629" t="s">
        <v>142</v>
      </c>
      <c r="G18" s="630" t="s">
        <v>144</v>
      </c>
      <c r="H18" s="631" t="s">
        <v>148</v>
      </c>
      <c r="I18" s="632">
        <v>700</v>
      </c>
      <c r="J18" s="630" t="s">
        <v>201</v>
      </c>
      <c r="K18" s="630" t="s">
        <v>209</v>
      </c>
      <c r="L18" s="631" t="s">
        <v>229</v>
      </c>
      <c r="M18" s="581"/>
    </row>
    <row r="19" spans="1:14" ht="15" x14ac:dyDescent="0.2">
      <c r="A19" s="620">
        <v>380</v>
      </c>
      <c r="B19" s="621" t="s">
        <v>96</v>
      </c>
      <c r="C19" s="621" t="s">
        <v>97</v>
      </c>
      <c r="D19" s="622" t="s">
        <v>102</v>
      </c>
      <c r="E19" s="623">
        <v>555</v>
      </c>
      <c r="F19" s="624" t="s">
        <v>142</v>
      </c>
      <c r="G19" s="625" t="s">
        <v>144</v>
      </c>
      <c r="H19" s="626" t="s">
        <v>147</v>
      </c>
      <c r="I19" s="627">
        <v>705</v>
      </c>
      <c r="J19" s="625" t="s">
        <v>201</v>
      </c>
      <c r="K19" s="625" t="s">
        <v>209</v>
      </c>
      <c r="L19" s="626" t="s">
        <v>228</v>
      </c>
      <c r="M19" s="581"/>
    </row>
    <row r="20" spans="1:14" ht="15" x14ac:dyDescent="0.2">
      <c r="A20" s="620">
        <v>385</v>
      </c>
      <c r="B20" s="621" t="s">
        <v>96</v>
      </c>
      <c r="C20" s="621" t="s">
        <v>97</v>
      </c>
      <c r="D20" s="622" t="s">
        <v>103</v>
      </c>
      <c r="E20" s="623">
        <v>560</v>
      </c>
      <c r="F20" s="624" t="s">
        <v>142</v>
      </c>
      <c r="G20" s="625" t="s">
        <v>145</v>
      </c>
      <c r="H20" s="626" t="s">
        <v>146</v>
      </c>
      <c r="I20" s="627">
        <v>710</v>
      </c>
      <c r="J20" s="625" t="s">
        <v>201</v>
      </c>
      <c r="K20" s="625" t="s">
        <v>209</v>
      </c>
      <c r="L20" s="626" t="s">
        <v>227</v>
      </c>
      <c r="M20" s="581"/>
    </row>
    <row r="21" spans="1:14" ht="15" x14ac:dyDescent="0.2">
      <c r="A21" s="620">
        <v>390</v>
      </c>
      <c r="B21" s="621" t="s">
        <v>96</v>
      </c>
      <c r="C21" s="621" t="s">
        <v>98</v>
      </c>
      <c r="D21" s="622" t="s">
        <v>104</v>
      </c>
      <c r="E21" s="662">
        <v>565</v>
      </c>
      <c r="F21" s="661" t="s">
        <v>158</v>
      </c>
      <c r="G21" s="625" t="s">
        <v>159</v>
      </c>
      <c r="H21" s="626" t="s">
        <v>161</v>
      </c>
      <c r="I21" s="666">
        <v>715</v>
      </c>
      <c r="J21" s="625" t="s">
        <v>202</v>
      </c>
      <c r="K21" s="625" t="s">
        <v>210</v>
      </c>
      <c r="L21" s="626" t="s">
        <v>226</v>
      </c>
      <c r="M21" s="581"/>
    </row>
    <row r="22" spans="1:14" ht="15" x14ac:dyDescent="0.2">
      <c r="A22" s="620">
        <v>395</v>
      </c>
      <c r="B22" s="621" t="s">
        <v>96</v>
      </c>
      <c r="C22" s="621" t="s">
        <v>98</v>
      </c>
      <c r="D22" s="622" t="s">
        <v>105</v>
      </c>
      <c r="E22" s="623">
        <v>570</v>
      </c>
      <c r="F22" s="624" t="s">
        <v>158</v>
      </c>
      <c r="G22" s="625" t="s">
        <v>159</v>
      </c>
      <c r="H22" s="626" t="s">
        <v>161</v>
      </c>
      <c r="I22" s="627">
        <v>720</v>
      </c>
      <c r="J22" s="625" t="s">
        <v>202</v>
      </c>
      <c r="K22" s="625" t="s">
        <v>210</v>
      </c>
      <c r="L22" s="626" t="s">
        <v>226</v>
      </c>
      <c r="M22" s="581"/>
    </row>
    <row r="23" spans="1:14" ht="15" x14ac:dyDescent="0.2">
      <c r="A23" s="633">
        <v>400</v>
      </c>
      <c r="B23" s="634" t="s">
        <v>96</v>
      </c>
      <c r="C23" s="634" t="s">
        <v>99</v>
      </c>
      <c r="D23" s="635" t="s">
        <v>106</v>
      </c>
      <c r="E23" s="623">
        <v>575</v>
      </c>
      <c r="F23" s="624" t="s">
        <v>158</v>
      </c>
      <c r="G23" s="625" t="s">
        <v>160</v>
      </c>
      <c r="H23" s="626" t="s">
        <v>162</v>
      </c>
      <c r="I23" s="627">
        <v>725</v>
      </c>
      <c r="J23" s="625" t="s">
        <v>202</v>
      </c>
      <c r="K23" s="625" t="s">
        <v>210</v>
      </c>
      <c r="L23" s="626" t="s">
        <v>225</v>
      </c>
      <c r="M23" s="581"/>
      <c r="N23" s="660"/>
    </row>
    <row r="24" spans="1:14" ht="15" x14ac:dyDescent="0.2">
      <c r="A24" s="664">
        <v>405</v>
      </c>
      <c r="B24" s="621" t="s">
        <v>108</v>
      </c>
      <c r="C24" s="621" t="s">
        <v>99</v>
      </c>
      <c r="D24" s="622" t="s">
        <v>106</v>
      </c>
      <c r="E24" s="623">
        <v>580</v>
      </c>
      <c r="F24" s="624" t="s">
        <v>158</v>
      </c>
      <c r="G24" s="625" t="s">
        <v>160</v>
      </c>
      <c r="H24" s="626" t="s">
        <v>162</v>
      </c>
      <c r="I24" s="627">
        <v>730</v>
      </c>
      <c r="J24" s="625" t="s">
        <v>202</v>
      </c>
      <c r="K24" s="625" t="s">
        <v>210</v>
      </c>
      <c r="L24" s="626" t="s">
        <v>224</v>
      </c>
      <c r="M24" s="581"/>
    </row>
    <row r="25" spans="1:14" ht="15" x14ac:dyDescent="0.2">
      <c r="A25" s="620">
        <v>410</v>
      </c>
      <c r="B25" s="621" t="s">
        <v>108</v>
      </c>
      <c r="C25" s="621" t="s">
        <v>99</v>
      </c>
      <c r="D25" s="622" t="s">
        <v>113</v>
      </c>
      <c r="E25" s="623">
        <v>585</v>
      </c>
      <c r="F25" s="624" t="s">
        <v>158</v>
      </c>
      <c r="G25" s="625" t="s">
        <v>160</v>
      </c>
      <c r="H25" s="626" t="s">
        <v>163</v>
      </c>
      <c r="I25" s="627">
        <v>735</v>
      </c>
      <c r="J25" s="625" t="s">
        <v>202</v>
      </c>
      <c r="K25" s="625" t="s">
        <v>211</v>
      </c>
      <c r="L25" s="626" t="s">
        <v>223</v>
      </c>
      <c r="M25" s="581"/>
    </row>
    <row r="26" spans="1:14" ht="15" x14ac:dyDescent="0.2">
      <c r="A26" s="620">
        <v>415</v>
      </c>
      <c r="B26" s="621" t="s">
        <v>108</v>
      </c>
      <c r="C26" s="621" t="s">
        <v>110</v>
      </c>
      <c r="D26" s="622" t="s">
        <v>114</v>
      </c>
      <c r="E26" s="623">
        <v>590</v>
      </c>
      <c r="F26" s="624" t="s">
        <v>164</v>
      </c>
      <c r="G26" s="625" t="s">
        <v>189</v>
      </c>
      <c r="H26" s="626" t="s">
        <v>163</v>
      </c>
      <c r="I26" s="666">
        <v>740</v>
      </c>
      <c r="J26" s="625" t="s">
        <v>203</v>
      </c>
      <c r="K26" s="625" t="s">
        <v>212</v>
      </c>
      <c r="L26" s="626" t="s">
        <v>223</v>
      </c>
      <c r="M26" s="581"/>
    </row>
    <row r="27" spans="1:14" ht="15" x14ac:dyDescent="0.2">
      <c r="A27" s="620">
        <v>420</v>
      </c>
      <c r="B27" s="621" t="s">
        <v>108</v>
      </c>
      <c r="C27" s="621" t="s">
        <v>110</v>
      </c>
      <c r="D27" s="622" t="s">
        <v>114</v>
      </c>
      <c r="E27" s="623">
        <v>595</v>
      </c>
      <c r="F27" s="624" t="s">
        <v>164</v>
      </c>
      <c r="G27" s="625" t="s">
        <v>190</v>
      </c>
      <c r="H27" s="626" t="s">
        <v>195</v>
      </c>
      <c r="I27" s="627">
        <v>745</v>
      </c>
      <c r="J27" s="625" t="s">
        <v>203</v>
      </c>
      <c r="K27" s="625" t="s">
        <v>212</v>
      </c>
      <c r="L27" s="626" t="s">
        <v>222</v>
      </c>
      <c r="M27" s="581"/>
    </row>
    <row r="28" spans="1:14" ht="15" x14ac:dyDescent="0.2">
      <c r="A28" s="620">
        <v>425</v>
      </c>
      <c r="B28" s="621" t="s">
        <v>108</v>
      </c>
      <c r="C28" s="621" t="s">
        <v>110</v>
      </c>
      <c r="D28" s="622" t="s">
        <v>115</v>
      </c>
      <c r="E28" s="628">
        <v>600</v>
      </c>
      <c r="F28" s="629" t="s">
        <v>164</v>
      </c>
      <c r="G28" s="630" t="s">
        <v>190</v>
      </c>
      <c r="H28" s="631" t="s">
        <v>195</v>
      </c>
      <c r="I28" s="632">
        <v>750</v>
      </c>
      <c r="J28" s="630" t="s">
        <v>203</v>
      </c>
      <c r="K28" s="630" t="s">
        <v>212</v>
      </c>
      <c r="L28" s="631" t="s">
        <v>222</v>
      </c>
      <c r="M28" s="581"/>
    </row>
    <row r="29" spans="1:14" ht="15" x14ac:dyDescent="0.2">
      <c r="A29" s="620">
        <v>430</v>
      </c>
      <c r="B29" s="621" t="s">
        <v>108</v>
      </c>
      <c r="C29" s="621" t="s">
        <v>110</v>
      </c>
      <c r="D29" s="622" t="s">
        <v>115</v>
      </c>
      <c r="E29" s="623">
        <v>605</v>
      </c>
      <c r="F29" s="624" t="s">
        <v>164</v>
      </c>
      <c r="G29" s="625" t="s">
        <v>190</v>
      </c>
      <c r="H29" s="626" t="s">
        <v>195</v>
      </c>
      <c r="I29" s="627">
        <v>755</v>
      </c>
      <c r="J29" s="625" t="s">
        <v>204</v>
      </c>
      <c r="K29" s="625" t="s">
        <v>212</v>
      </c>
      <c r="L29" s="626" t="s">
        <v>221</v>
      </c>
      <c r="M29" s="581"/>
    </row>
    <row r="30" spans="1:14" ht="15" x14ac:dyDescent="0.2">
      <c r="A30" s="620">
        <v>435</v>
      </c>
      <c r="B30" s="621" t="s">
        <v>108</v>
      </c>
      <c r="C30" s="621" t="s">
        <v>110</v>
      </c>
      <c r="D30" s="622" t="s">
        <v>116</v>
      </c>
      <c r="E30" s="623">
        <v>610</v>
      </c>
      <c r="F30" s="624" t="s">
        <v>164</v>
      </c>
      <c r="G30" s="625" t="s">
        <v>190</v>
      </c>
      <c r="H30" s="626" t="s">
        <v>195</v>
      </c>
      <c r="I30" s="627">
        <v>760</v>
      </c>
      <c r="J30" s="625" t="s">
        <v>204</v>
      </c>
      <c r="K30" s="625" t="s">
        <v>212</v>
      </c>
      <c r="L30" s="626" t="s">
        <v>220</v>
      </c>
      <c r="M30" s="581"/>
    </row>
    <row r="31" spans="1:14" ht="15" x14ac:dyDescent="0.2">
      <c r="A31" s="620">
        <v>440</v>
      </c>
      <c r="B31" s="621" t="s">
        <v>108</v>
      </c>
      <c r="C31" s="621" t="s">
        <v>111</v>
      </c>
      <c r="D31" s="622" t="s">
        <v>117</v>
      </c>
      <c r="E31" s="662">
        <v>615</v>
      </c>
      <c r="F31" s="624" t="s">
        <v>186</v>
      </c>
      <c r="G31" s="625" t="s">
        <v>191</v>
      </c>
      <c r="H31" s="626" t="s">
        <v>196</v>
      </c>
      <c r="I31" s="627">
        <v>765</v>
      </c>
      <c r="J31" s="625" t="s">
        <v>204</v>
      </c>
      <c r="K31" s="625" t="s">
        <v>213</v>
      </c>
      <c r="L31" s="626" t="s">
        <v>219</v>
      </c>
      <c r="M31" s="581"/>
    </row>
    <row r="32" spans="1:14" ht="15" x14ac:dyDescent="0.2">
      <c r="A32" s="620">
        <v>445</v>
      </c>
      <c r="B32" s="621" t="s">
        <v>108</v>
      </c>
      <c r="C32" s="621" t="s">
        <v>111</v>
      </c>
      <c r="D32" s="622" t="s">
        <v>118</v>
      </c>
      <c r="E32" s="623">
        <v>620</v>
      </c>
      <c r="F32" s="624" t="s">
        <v>186</v>
      </c>
      <c r="G32" s="625" t="s">
        <v>191</v>
      </c>
      <c r="H32" s="626" t="s">
        <v>196</v>
      </c>
      <c r="I32" s="627">
        <v>770</v>
      </c>
      <c r="J32" s="625" t="s">
        <v>205</v>
      </c>
      <c r="K32" s="625" t="s">
        <v>214</v>
      </c>
      <c r="L32" s="626" t="s">
        <v>219</v>
      </c>
      <c r="M32" s="581"/>
    </row>
    <row r="33" spans="1:13" ht="15" x14ac:dyDescent="0.2">
      <c r="A33" s="633">
        <v>450</v>
      </c>
      <c r="B33" s="634" t="s">
        <v>109</v>
      </c>
      <c r="C33" s="634" t="s">
        <v>112</v>
      </c>
      <c r="D33" s="635" t="s">
        <v>119</v>
      </c>
      <c r="E33" s="623">
        <v>625</v>
      </c>
      <c r="F33" s="624" t="s">
        <v>186</v>
      </c>
      <c r="G33" s="625" t="s">
        <v>191</v>
      </c>
      <c r="H33" s="626" t="s">
        <v>196</v>
      </c>
      <c r="I33" s="627">
        <v>775</v>
      </c>
      <c r="J33" s="625" t="s">
        <v>205</v>
      </c>
      <c r="K33" s="625" t="s">
        <v>214</v>
      </c>
      <c r="L33" s="626" t="s">
        <v>219</v>
      </c>
      <c r="M33" s="581"/>
    </row>
    <row r="34" spans="1:13" ht="15" x14ac:dyDescent="0.2">
      <c r="A34" s="664">
        <v>455</v>
      </c>
      <c r="B34" s="621" t="s">
        <v>109</v>
      </c>
      <c r="C34" s="621" t="s">
        <v>112</v>
      </c>
      <c r="D34" s="622" t="s">
        <v>119</v>
      </c>
      <c r="E34" s="623">
        <v>630</v>
      </c>
      <c r="F34" s="624" t="s">
        <v>186</v>
      </c>
      <c r="G34" s="625" t="s">
        <v>191</v>
      </c>
      <c r="H34" s="626" t="s">
        <v>196</v>
      </c>
      <c r="I34" s="627">
        <v>780</v>
      </c>
      <c r="J34" s="625" t="s">
        <v>206</v>
      </c>
      <c r="K34" s="625" t="s">
        <v>214</v>
      </c>
      <c r="L34" s="626" t="s">
        <v>218</v>
      </c>
      <c r="M34" s="581"/>
    </row>
    <row r="35" spans="1:13" ht="15" x14ac:dyDescent="0.2">
      <c r="A35" s="620">
        <v>460</v>
      </c>
      <c r="B35" s="621" t="s">
        <v>109</v>
      </c>
      <c r="C35" s="621" t="s">
        <v>121</v>
      </c>
      <c r="D35" s="622" t="s">
        <v>125</v>
      </c>
      <c r="E35" s="623">
        <v>635</v>
      </c>
      <c r="F35" s="624" t="s">
        <v>187</v>
      </c>
      <c r="G35" s="625" t="s">
        <v>192</v>
      </c>
      <c r="H35" s="626" t="s">
        <v>196</v>
      </c>
      <c r="I35" s="627">
        <v>785</v>
      </c>
      <c r="J35" s="625" t="s">
        <v>206</v>
      </c>
      <c r="K35" s="625" t="s">
        <v>214</v>
      </c>
      <c r="L35" s="626" t="s">
        <v>217</v>
      </c>
      <c r="M35" s="581"/>
    </row>
    <row r="36" spans="1:13" ht="15" x14ac:dyDescent="0.2">
      <c r="A36" s="620">
        <v>465</v>
      </c>
      <c r="B36" s="621" t="s">
        <v>109</v>
      </c>
      <c r="C36" s="621" t="s">
        <v>121</v>
      </c>
      <c r="D36" s="622" t="s">
        <v>125</v>
      </c>
      <c r="E36" s="623">
        <v>640</v>
      </c>
      <c r="F36" s="624" t="s">
        <v>187</v>
      </c>
      <c r="G36" s="625" t="s">
        <v>193</v>
      </c>
      <c r="H36" s="626" t="s">
        <v>197</v>
      </c>
      <c r="I36" s="627">
        <v>790</v>
      </c>
      <c r="J36" s="625" t="s">
        <v>206</v>
      </c>
      <c r="K36" s="625" t="s">
        <v>215</v>
      </c>
      <c r="L36" s="626" t="s">
        <v>217</v>
      </c>
      <c r="M36" s="581"/>
    </row>
    <row r="37" spans="1:13" ht="15" x14ac:dyDescent="0.2">
      <c r="A37" s="620">
        <v>470</v>
      </c>
      <c r="B37" s="621" t="s">
        <v>120</v>
      </c>
      <c r="C37" s="621" t="s">
        <v>121</v>
      </c>
      <c r="D37" s="622" t="s">
        <v>126</v>
      </c>
      <c r="E37" s="623">
        <v>645</v>
      </c>
      <c r="F37" s="624" t="s">
        <v>187</v>
      </c>
      <c r="G37" s="625" t="s">
        <v>193</v>
      </c>
      <c r="H37" s="626" t="s">
        <v>197</v>
      </c>
      <c r="I37" s="627">
        <v>795</v>
      </c>
      <c r="J37" s="625" t="s">
        <v>206</v>
      </c>
      <c r="K37" s="625" t="s">
        <v>215</v>
      </c>
      <c r="L37" s="626" t="s">
        <v>216</v>
      </c>
      <c r="M37" s="581"/>
    </row>
    <row r="38" spans="1:13" ht="15" x14ac:dyDescent="0.2">
      <c r="A38" s="620">
        <v>475</v>
      </c>
      <c r="B38" s="621" t="s">
        <v>120</v>
      </c>
      <c r="C38" s="621" t="s">
        <v>122</v>
      </c>
      <c r="D38" s="622" t="s">
        <v>127</v>
      </c>
      <c r="E38" s="628">
        <v>650</v>
      </c>
      <c r="F38" s="629" t="s">
        <v>187</v>
      </c>
      <c r="G38" s="630" t="s">
        <v>193</v>
      </c>
      <c r="H38" s="631" t="s">
        <v>198</v>
      </c>
      <c r="I38" s="632">
        <v>800</v>
      </c>
      <c r="J38" s="630" t="s">
        <v>206</v>
      </c>
      <c r="K38" s="630" t="s">
        <v>215</v>
      </c>
      <c r="L38" s="631" t="s">
        <v>216</v>
      </c>
      <c r="M38" s="581"/>
    </row>
    <row r="39" spans="1:13" ht="15" x14ac:dyDescent="0.2">
      <c r="A39" s="620">
        <v>480</v>
      </c>
      <c r="B39" s="621" t="s">
        <v>120</v>
      </c>
      <c r="C39" s="621" t="s">
        <v>122</v>
      </c>
      <c r="D39" s="622" t="s">
        <v>128</v>
      </c>
      <c r="E39" s="623">
        <v>655</v>
      </c>
      <c r="F39" s="624" t="s">
        <v>187</v>
      </c>
      <c r="G39" s="625" t="s">
        <v>193</v>
      </c>
      <c r="H39" s="626" t="s">
        <v>198</v>
      </c>
      <c r="I39" s="636"/>
      <c r="J39" s="637" t="s">
        <v>107</v>
      </c>
      <c r="K39" s="637" t="s">
        <v>107</v>
      </c>
      <c r="L39" s="638" t="s">
        <v>107</v>
      </c>
      <c r="M39" s="581"/>
    </row>
    <row r="40" spans="1:13" ht="15" x14ac:dyDescent="0.2">
      <c r="A40" s="620">
        <v>485</v>
      </c>
      <c r="B40" s="621" t="s">
        <v>120</v>
      </c>
      <c r="C40" s="621" t="s">
        <v>122</v>
      </c>
      <c r="D40" s="622" t="s">
        <v>128</v>
      </c>
      <c r="E40" s="623">
        <v>660</v>
      </c>
      <c r="F40" s="624" t="s">
        <v>187</v>
      </c>
      <c r="G40" s="625" t="s">
        <v>193</v>
      </c>
      <c r="H40" s="626" t="s">
        <v>198</v>
      </c>
      <c r="I40" s="636"/>
      <c r="J40" s="637" t="s">
        <v>107</v>
      </c>
      <c r="K40" s="637" t="s">
        <v>107</v>
      </c>
      <c r="L40" s="638" t="s">
        <v>107</v>
      </c>
      <c r="M40" s="581"/>
    </row>
    <row r="41" spans="1:13" ht="15" x14ac:dyDescent="0.2">
      <c r="A41" s="620">
        <v>490</v>
      </c>
      <c r="B41" s="621" t="s">
        <v>120</v>
      </c>
      <c r="C41" s="621" t="s">
        <v>122</v>
      </c>
      <c r="D41" s="622" t="s">
        <v>129</v>
      </c>
      <c r="E41" s="623">
        <v>665</v>
      </c>
      <c r="F41" s="624" t="s">
        <v>188</v>
      </c>
      <c r="G41" s="625" t="s">
        <v>194</v>
      </c>
      <c r="H41" s="626" t="s">
        <v>199</v>
      </c>
      <c r="I41" s="636"/>
      <c r="J41" s="637" t="s">
        <v>107</v>
      </c>
      <c r="K41" s="637" t="s">
        <v>107</v>
      </c>
      <c r="L41" s="638" t="s">
        <v>107</v>
      </c>
      <c r="M41" s="581"/>
    </row>
    <row r="42" spans="1:13" ht="15" x14ac:dyDescent="0.2">
      <c r="A42" s="620">
        <v>495</v>
      </c>
      <c r="B42" s="621" t="s">
        <v>120</v>
      </c>
      <c r="C42" s="621" t="s">
        <v>123</v>
      </c>
      <c r="D42" s="622" t="s">
        <v>130</v>
      </c>
      <c r="E42" s="623">
        <v>670</v>
      </c>
      <c r="F42" s="624" t="s">
        <v>188</v>
      </c>
      <c r="G42" s="625" t="s">
        <v>194</v>
      </c>
      <c r="H42" s="626" t="s">
        <v>199</v>
      </c>
      <c r="I42" s="636"/>
      <c r="J42" s="637" t="s">
        <v>107</v>
      </c>
      <c r="K42" s="637" t="s">
        <v>107</v>
      </c>
      <c r="L42" s="638" t="s">
        <v>107</v>
      </c>
      <c r="M42" s="581"/>
    </row>
    <row r="43" spans="1:13" ht="15" x14ac:dyDescent="0.2">
      <c r="A43" s="633">
        <v>500</v>
      </c>
      <c r="B43" s="634" t="s">
        <v>120</v>
      </c>
      <c r="C43" s="634" t="s">
        <v>124</v>
      </c>
      <c r="D43" s="635" t="s">
        <v>131</v>
      </c>
      <c r="E43" s="623">
        <v>675</v>
      </c>
      <c r="F43" s="624" t="s">
        <v>188</v>
      </c>
      <c r="G43" s="625" t="s">
        <v>194</v>
      </c>
      <c r="H43" s="626" t="s">
        <v>199</v>
      </c>
      <c r="I43" s="636"/>
      <c r="J43" s="637" t="s">
        <v>107</v>
      </c>
      <c r="K43" s="637" t="s">
        <v>107</v>
      </c>
      <c r="L43" s="638" t="s">
        <v>107</v>
      </c>
      <c r="M43" s="581"/>
    </row>
    <row r="44" spans="1:13" ht="15" x14ac:dyDescent="0.2">
      <c r="A44" s="664">
        <v>505</v>
      </c>
      <c r="B44" s="621" t="s">
        <v>132</v>
      </c>
      <c r="C44" s="621" t="s">
        <v>124</v>
      </c>
      <c r="D44" s="622" t="s">
        <v>131</v>
      </c>
      <c r="E44" s="639"/>
      <c r="F44" s="640" t="s">
        <v>107</v>
      </c>
      <c r="G44" s="637" t="s">
        <v>107</v>
      </c>
      <c r="H44" s="638" t="s">
        <v>107</v>
      </c>
      <c r="I44" s="636"/>
      <c r="J44" s="637" t="s">
        <v>107</v>
      </c>
      <c r="K44" s="637" t="s">
        <v>107</v>
      </c>
      <c r="L44" s="638" t="s">
        <v>107</v>
      </c>
      <c r="M44" s="581"/>
    </row>
    <row r="45" spans="1:13" ht="15" x14ac:dyDescent="0.2">
      <c r="A45" s="620">
        <v>510</v>
      </c>
      <c r="B45" s="621" t="s">
        <v>132</v>
      </c>
      <c r="C45" s="621" t="s">
        <v>124</v>
      </c>
      <c r="D45" s="622" t="s">
        <v>131</v>
      </c>
      <c r="E45" s="639"/>
      <c r="F45" s="640" t="s">
        <v>107</v>
      </c>
      <c r="G45" s="637" t="s">
        <v>107</v>
      </c>
      <c r="H45" s="638" t="s">
        <v>107</v>
      </c>
      <c r="I45" s="636"/>
      <c r="J45" s="637" t="s">
        <v>107</v>
      </c>
      <c r="K45" s="637" t="s">
        <v>107</v>
      </c>
      <c r="L45" s="638" t="s">
        <v>107</v>
      </c>
      <c r="M45" s="581"/>
    </row>
    <row r="46" spans="1:13" ht="15" x14ac:dyDescent="0.2">
      <c r="A46" s="620">
        <v>515</v>
      </c>
      <c r="B46" s="621" t="s">
        <v>132</v>
      </c>
      <c r="C46" s="621" t="s">
        <v>133</v>
      </c>
      <c r="D46" s="622" t="s">
        <v>135</v>
      </c>
      <c r="E46" s="639"/>
      <c r="F46" s="640" t="s">
        <v>107</v>
      </c>
      <c r="G46" s="637" t="s">
        <v>107</v>
      </c>
      <c r="H46" s="638" t="s">
        <v>107</v>
      </c>
      <c r="I46" s="636"/>
      <c r="J46" s="637" t="s">
        <v>107</v>
      </c>
      <c r="K46" s="637" t="s">
        <v>107</v>
      </c>
      <c r="L46" s="638" t="s">
        <v>107</v>
      </c>
      <c r="M46" s="581"/>
    </row>
    <row r="47" spans="1:13" ht="15" x14ac:dyDescent="0.2">
      <c r="A47" s="620">
        <v>520</v>
      </c>
      <c r="B47" s="621" t="s">
        <v>132</v>
      </c>
      <c r="C47" s="621" t="s">
        <v>133</v>
      </c>
      <c r="D47" s="622" t="s">
        <v>136</v>
      </c>
      <c r="E47" s="639"/>
      <c r="F47" s="640" t="s">
        <v>107</v>
      </c>
      <c r="G47" s="637" t="s">
        <v>107</v>
      </c>
      <c r="H47" s="638" t="s">
        <v>107</v>
      </c>
      <c r="I47" s="636"/>
      <c r="J47" s="637" t="s">
        <v>107</v>
      </c>
      <c r="K47" s="637" t="s">
        <v>107</v>
      </c>
      <c r="L47" s="638" t="s">
        <v>107</v>
      </c>
      <c r="M47" s="581"/>
    </row>
    <row r="48" spans="1:13" ht="15.75" thickBot="1" x14ac:dyDescent="0.25">
      <c r="A48" s="641">
        <v>525</v>
      </c>
      <c r="B48" s="642" t="s">
        <v>132</v>
      </c>
      <c r="C48" s="642" t="s">
        <v>134</v>
      </c>
      <c r="D48" s="643" t="s">
        <v>136</v>
      </c>
      <c r="E48" s="644"/>
      <c r="F48" s="645" t="s">
        <v>107</v>
      </c>
      <c r="G48" s="646" t="s">
        <v>107</v>
      </c>
      <c r="H48" s="647" t="s">
        <v>107</v>
      </c>
      <c r="I48" s="648"/>
      <c r="J48" s="646" t="s">
        <v>107</v>
      </c>
      <c r="K48" s="646" t="s">
        <v>107</v>
      </c>
      <c r="L48" s="647" t="s">
        <v>107</v>
      </c>
      <c r="M48" s="581"/>
    </row>
    <row r="53" spans="1:9" ht="13.5" thickBot="1" x14ac:dyDescent="0.25"/>
    <row r="54" spans="1:9" ht="24" thickBot="1" x14ac:dyDescent="0.25">
      <c r="A54" s="1018" t="s">
        <v>91</v>
      </c>
      <c r="B54" s="1019"/>
      <c r="C54" s="1019"/>
      <c r="D54" s="1019"/>
      <c r="E54" s="1019"/>
      <c r="F54" s="1019"/>
      <c r="G54" s="1020"/>
      <c r="H54" s="1021"/>
      <c r="I54" s="650"/>
    </row>
    <row r="55" spans="1:9" ht="18.75" thickBot="1" x14ac:dyDescent="0.25">
      <c r="A55" s="651">
        <v>1</v>
      </c>
      <c r="B55" s="1013" t="s">
        <v>253</v>
      </c>
      <c r="C55" s="1014"/>
      <c r="D55" s="651" t="s">
        <v>600</v>
      </c>
      <c r="E55" s="652"/>
      <c r="F55" s="652">
        <v>2</v>
      </c>
      <c r="G55" s="612"/>
      <c r="H55" s="653"/>
      <c r="I55" s="654"/>
    </row>
    <row r="56" spans="1:9" ht="13.5" thickBot="1" x14ac:dyDescent="0.25">
      <c r="A56" s="651">
        <v>2</v>
      </c>
      <c r="B56" s="1013" t="s">
        <v>57</v>
      </c>
      <c r="C56" s="1014"/>
      <c r="D56" s="651" t="s">
        <v>153</v>
      </c>
      <c r="E56" s="652"/>
      <c r="F56" s="652">
        <v>1</v>
      </c>
      <c r="G56" s="655"/>
      <c r="H56" s="653"/>
      <c r="I56" s="654"/>
    </row>
    <row r="57" spans="1:9" ht="13.5" thickBot="1" x14ac:dyDescent="0.25">
      <c r="A57" s="651">
        <v>3</v>
      </c>
      <c r="B57" s="1013" t="s">
        <v>58</v>
      </c>
      <c r="C57" s="1014"/>
      <c r="D57" s="651" t="s">
        <v>154</v>
      </c>
      <c r="E57" s="652"/>
      <c r="F57" s="652">
        <v>1</v>
      </c>
      <c r="G57" s="655"/>
      <c r="H57" s="653"/>
      <c r="I57" s="654"/>
    </row>
    <row r="58" spans="1:9" ht="13.5" thickBot="1" x14ac:dyDescent="0.25">
      <c r="A58" s="651">
        <v>4</v>
      </c>
      <c r="B58" s="1013" t="s">
        <v>177</v>
      </c>
      <c r="C58" s="1014"/>
      <c r="D58" s="651" t="s">
        <v>150</v>
      </c>
      <c r="E58" s="652"/>
      <c r="F58" s="652">
        <v>1</v>
      </c>
      <c r="G58" s="612" t="s">
        <v>175</v>
      </c>
      <c r="H58" s="653" t="s">
        <v>176</v>
      </c>
      <c r="I58" s="654"/>
    </row>
    <row r="59" spans="1:9" ht="13.5" thickBot="1" x14ac:dyDescent="0.25">
      <c r="A59" s="651">
        <v>5</v>
      </c>
      <c r="B59" s="1013" t="s">
        <v>178</v>
      </c>
      <c r="C59" s="1014"/>
      <c r="D59" s="651" t="s">
        <v>151</v>
      </c>
      <c r="E59" s="652"/>
      <c r="F59" s="652">
        <v>1</v>
      </c>
      <c r="G59" s="612" t="s">
        <v>175</v>
      </c>
      <c r="H59" s="653" t="s">
        <v>176</v>
      </c>
      <c r="I59" s="654"/>
    </row>
    <row r="60" spans="1:9" ht="13.5" thickBot="1" x14ac:dyDescent="0.25">
      <c r="A60" s="651">
        <v>6</v>
      </c>
      <c r="B60" s="1013" t="s">
        <v>254</v>
      </c>
      <c r="C60" s="1014"/>
      <c r="D60" s="651" t="s">
        <v>152</v>
      </c>
      <c r="E60" s="652"/>
      <c r="F60" s="652">
        <v>2</v>
      </c>
      <c r="G60" s="612"/>
      <c r="H60" s="653"/>
      <c r="I60" s="654"/>
    </row>
    <row r="61" spans="1:9" ht="13.5" thickBot="1" x14ac:dyDescent="0.25">
      <c r="A61" s="651">
        <v>7</v>
      </c>
      <c r="B61" s="1013" t="s">
        <v>92</v>
      </c>
      <c r="C61" s="1014"/>
      <c r="D61" s="651" t="s">
        <v>42</v>
      </c>
      <c r="E61" s="652"/>
      <c r="F61" s="652">
        <v>2</v>
      </c>
      <c r="G61" s="612" t="s">
        <v>56</v>
      </c>
      <c r="H61" s="653" t="s">
        <v>157</v>
      </c>
      <c r="I61" s="654"/>
    </row>
    <row r="62" spans="1:9" ht="13.5" thickBot="1" x14ac:dyDescent="0.25">
      <c r="A62" s="651">
        <v>8</v>
      </c>
      <c r="B62" s="1013" t="s">
        <v>59</v>
      </c>
      <c r="C62" s="1014"/>
      <c r="D62" s="651" t="s">
        <v>155</v>
      </c>
      <c r="E62" s="652"/>
      <c r="F62" s="652">
        <v>1</v>
      </c>
      <c r="G62" s="655"/>
      <c r="H62" s="653"/>
      <c r="I62" s="654"/>
    </row>
    <row r="63" spans="1:9" ht="13.5" thickBot="1" x14ac:dyDescent="0.25">
      <c r="A63" s="651">
        <v>9</v>
      </c>
      <c r="B63" s="1013" t="s">
        <v>60</v>
      </c>
      <c r="C63" s="1014"/>
      <c r="D63" s="651" t="s">
        <v>156</v>
      </c>
      <c r="E63" s="652"/>
      <c r="F63" s="652">
        <v>2</v>
      </c>
      <c r="G63" s="655"/>
      <c r="H63" s="653"/>
      <c r="I63" s="654"/>
    </row>
    <row r="64" spans="1:9" ht="13.5" thickBot="1" x14ac:dyDescent="0.25">
      <c r="A64" s="651">
        <v>10</v>
      </c>
      <c r="B64" s="1013" t="s">
        <v>289</v>
      </c>
      <c r="C64" s="1014"/>
      <c r="D64" s="651" t="s">
        <v>290</v>
      </c>
      <c r="E64" s="652"/>
      <c r="F64" s="652">
        <v>1</v>
      </c>
      <c r="G64" s="656"/>
      <c r="H64" s="657" t="s">
        <v>176</v>
      </c>
      <c r="I64" s="654"/>
    </row>
  </sheetData>
  <sheetProtection password="CF68" sheet="1" formatCells="0" formatColumns="0" formatRows="0" insertColumns="0" insertRows="0" insertHyperlinks="0" deleteColumns="0" deleteRows="0" sort="0" autoFilter="0" pivotTables="0"/>
  <protectedRanges>
    <protectedRange sqref="C4:D9" name="Диапазон1"/>
  </protectedRanges>
  <mergeCells count="30">
    <mergeCell ref="B60:C60"/>
    <mergeCell ref="B61:C61"/>
    <mergeCell ref="B62:C62"/>
    <mergeCell ref="B63:C63"/>
    <mergeCell ref="B64:C64"/>
    <mergeCell ref="B59:C59"/>
    <mergeCell ref="A11:A12"/>
    <mergeCell ref="B11:D11"/>
    <mergeCell ref="E11:E12"/>
    <mergeCell ref="F11:H11"/>
    <mergeCell ref="A54:H54"/>
    <mergeCell ref="B55:C55"/>
    <mergeCell ref="B56:C56"/>
    <mergeCell ref="B57:C57"/>
    <mergeCell ref="B58:C58"/>
    <mergeCell ref="I11:I12"/>
    <mergeCell ref="J11:L11"/>
    <mergeCell ref="A7:B7"/>
    <mergeCell ref="G7:J7"/>
    <mergeCell ref="A8:B8"/>
    <mergeCell ref="G8:J8"/>
    <mergeCell ref="A9:B9"/>
    <mergeCell ref="G9:J9"/>
    <mergeCell ref="A6:B6"/>
    <mergeCell ref="G6:J6"/>
    <mergeCell ref="A1:L1"/>
    <mergeCell ref="A2:K2"/>
    <mergeCell ref="G3:J3"/>
    <mergeCell ref="G4:J4"/>
    <mergeCell ref="G5:J5"/>
  </mergeCells>
  <conditionalFormatting sqref="G4:J9">
    <cfRule type="containsText" dxfId="128" priority="1" operator="containsText" text="увеличьте">
      <formula>NOT(ISERROR(SEARCH("увеличьте",G4)))</formula>
    </cfRule>
    <cfRule type="containsText" dxfId="127" priority="2" operator="containsText" text="уменьшите">
      <formula>NOT(ISERROR(SEARCH("уменьшите",G4)))</formula>
    </cfRule>
    <cfRule type="containsText" dxfId="126" priority="3" operator="containsText" text="увеличте">
      <formula>NOT(ISERROR(SEARCH("увеличте",G4)))</formula>
    </cfRule>
  </conditionalFormatting>
  <hyperlinks>
    <hyperlink ref="M1" location="Содержание!R1C1" display="← СОДЕРЖАНИЕ:" xr:uid="{454DFD32-C10D-4E80-A7F0-282F1F51D2E4}"/>
  </hyperlinks>
  <pageMargins left="0.75" right="0.75" top="1" bottom="1" header="0.5" footer="0.5"/>
  <pageSetup paperSize="9" orientation="portrait" r:id="rId1"/>
  <headerFooter alignWithMargins="0"/>
  <ignoredErrors>
    <ignoredError sqref="G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pageSetUpPr fitToPage="1"/>
  </sheetPr>
  <dimension ref="H1"/>
  <sheetViews>
    <sheetView showGridLines="0" workbookViewId="0">
      <selection activeCell="I24" sqref="I24"/>
    </sheetView>
  </sheetViews>
  <sheetFormatPr defaultRowHeight="12.75" x14ac:dyDescent="0.2"/>
  <cols>
    <col min="1" max="1" width="26.28515625" customWidth="1"/>
    <col min="2" max="2" width="25.85546875" customWidth="1"/>
    <col min="3" max="3" width="15.7109375" customWidth="1"/>
    <col min="4" max="4" width="18.85546875" customWidth="1"/>
    <col min="5" max="5" width="17" customWidth="1"/>
    <col min="6" max="6" width="17.7109375" customWidth="1"/>
    <col min="7" max="7" width="15.7109375" customWidth="1"/>
    <col min="8" max="8" width="17.140625" customWidth="1"/>
  </cols>
  <sheetData>
    <row r="1" spans="8:8" ht="45" customHeight="1" thickBot="1" x14ac:dyDescent="0.25">
      <c r="H1" s="434" t="s">
        <v>544</v>
      </c>
    </row>
  </sheetData>
  <sheetProtection algorithmName="SHA-512" hashValue="jhP+jxhYRzmqGO7i7G027m+6lPkyC9RBMriVx+vWvsSMqlVvA214P8qBQk0ANJLB6Zi9yioFwdFcHhXQHbQDlQ==" saltValue="POMrhkZBqcmYrODOyWbQjQ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howGridLines="0" fitToPage="1">
      <pageMargins left="0.39370078740157483" right="0.39370078740157483" top="0.39370078740157483" bottom="0.39370078740157483" header="0.51181102362204722" footer="0.51181102362204722"/>
      <pageSetup paperSize="9" scale="91" orientation="portrait" r:id="rId1"/>
      <headerFooter alignWithMargins="0"/>
    </customSheetView>
  </customSheetViews>
  <phoneticPr fontId="14" type="noConversion"/>
  <hyperlinks>
    <hyperlink ref="H1" location="Содержание!R1C1" display="← СОДЕРЖАНИЕ:" xr:uid="{00000000-0004-0000-0500-000000000000}"/>
  </hyperlinks>
  <pageMargins left="0.39370078740157483" right="0.39370078740157483" top="0.39370078740157483" bottom="0.39370078740157483" header="0.51181102362204722" footer="0.51181102362204722"/>
  <pageSetup paperSize="9" scale="91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indexed="50"/>
  </sheetPr>
  <dimension ref="A1:J27"/>
  <sheetViews>
    <sheetView zoomScaleNormal="100" workbookViewId="0">
      <selection activeCell="K6" sqref="K6"/>
    </sheetView>
  </sheetViews>
  <sheetFormatPr defaultRowHeight="12.75" x14ac:dyDescent="0.2"/>
  <cols>
    <col min="1" max="1" width="39.5703125" customWidth="1"/>
    <col min="2" max="2" width="11.85546875" customWidth="1"/>
    <col min="3" max="3" width="13.140625" customWidth="1"/>
    <col min="4" max="4" width="10.85546875" customWidth="1"/>
    <col min="5" max="5" width="9.28515625" customWidth="1"/>
    <col min="6" max="6" width="14.28515625" customWidth="1"/>
    <col min="7" max="7" width="24.42578125" customWidth="1"/>
    <col min="8" max="8" width="28.5703125" customWidth="1"/>
    <col min="9" max="9" width="26.42578125" customWidth="1"/>
    <col min="10" max="10" width="20.7109375" customWidth="1"/>
    <col min="11" max="11" width="9.140625" customWidth="1"/>
  </cols>
  <sheetData>
    <row r="1" spans="1:10" ht="46.5" customHeight="1" thickBot="1" x14ac:dyDescent="0.25">
      <c r="A1" s="1038"/>
      <c r="B1" s="1039"/>
      <c r="C1" s="1039"/>
      <c r="D1" s="1039"/>
      <c r="E1" s="1039"/>
      <c r="F1" s="1039"/>
      <c r="G1" s="1040"/>
      <c r="H1" s="1040"/>
      <c r="I1" s="1040"/>
      <c r="J1" s="436" t="s">
        <v>544</v>
      </c>
    </row>
    <row r="2" spans="1:10" ht="23.25" customHeight="1" thickBot="1" x14ac:dyDescent="0.25">
      <c r="A2" s="1048" t="s">
        <v>500</v>
      </c>
      <c r="B2" s="1049"/>
      <c r="C2" s="1028" t="s">
        <v>55</v>
      </c>
      <c r="D2" s="1028" t="s">
        <v>681</v>
      </c>
      <c r="E2" s="1028"/>
      <c r="F2" s="1028"/>
      <c r="G2" s="1028"/>
      <c r="H2" s="1028"/>
      <c r="I2" s="1028"/>
    </row>
    <row r="3" spans="1:10" ht="18.75" customHeight="1" thickBot="1" x14ac:dyDescent="0.25">
      <c r="A3" s="1050"/>
      <c r="B3" s="1051"/>
      <c r="C3" s="1028"/>
      <c r="D3" s="1029" t="s">
        <v>62</v>
      </c>
      <c r="E3" s="1030"/>
      <c r="F3" s="198" t="s">
        <v>51</v>
      </c>
      <c r="G3" s="198" t="s">
        <v>52</v>
      </c>
      <c r="H3" s="198" t="s">
        <v>53</v>
      </c>
      <c r="I3" s="198" t="s">
        <v>54</v>
      </c>
    </row>
    <row r="4" spans="1:10" ht="20.25" customHeight="1" thickBot="1" x14ac:dyDescent="0.25">
      <c r="A4" s="1052" t="s">
        <v>49</v>
      </c>
      <c r="B4" s="1030"/>
      <c r="C4" s="199" t="s">
        <v>48</v>
      </c>
      <c r="D4" s="1031"/>
      <c r="E4" s="912"/>
      <c r="F4" s="200"/>
      <c r="G4" s="201" t="s">
        <v>235</v>
      </c>
      <c r="H4" s="201" t="s">
        <v>236</v>
      </c>
      <c r="I4" s="201" t="s">
        <v>237</v>
      </c>
    </row>
    <row r="5" spans="1:10" ht="24.75" customHeight="1" thickBot="1" x14ac:dyDescent="0.25">
      <c r="A5" s="1052" t="s">
        <v>50</v>
      </c>
      <c r="B5" s="1030"/>
      <c r="C5" s="199" t="s">
        <v>47</v>
      </c>
      <c r="D5" s="1031"/>
      <c r="E5" s="912"/>
      <c r="F5" s="201" t="s">
        <v>241</v>
      </c>
      <c r="G5" s="201" t="s">
        <v>240</v>
      </c>
      <c r="H5" s="201" t="s">
        <v>239</v>
      </c>
      <c r="I5" s="201" t="s">
        <v>216</v>
      </c>
    </row>
    <row r="6" spans="1:10" ht="23.25" customHeight="1" thickBot="1" x14ac:dyDescent="0.25">
      <c r="A6" s="1052" t="s">
        <v>63</v>
      </c>
      <c r="B6" s="1030"/>
      <c r="C6" s="199" t="s">
        <v>46</v>
      </c>
      <c r="D6" s="1032" t="s">
        <v>242</v>
      </c>
      <c r="E6" s="912"/>
      <c r="F6" s="201" t="s">
        <v>244</v>
      </c>
      <c r="G6" s="201" t="s">
        <v>99</v>
      </c>
      <c r="H6" s="201" t="s">
        <v>248</v>
      </c>
      <c r="I6" s="201" t="s">
        <v>238</v>
      </c>
    </row>
    <row r="7" spans="1:10" ht="26.25" customHeight="1" thickBot="1" x14ac:dyDescent="0.25">
      <c r="A7" s="1052" t="s">
        <v>64</v>
      </c>
      <c r="B7" s="1030"/>
      <c r="C7" s="199" t="s">
        <v>45</v>
      </c>
      <c r="D7" s="1032" t="s">
        <v>243</v>
      </c>
      <c r="E7" s="912"/>
      <c r="F7" s="201" t="s">
        <v>245</v>
      </c>
      <c r="G7" s="201" t="s">
        <v>246</v>
      </c>
      <c r="H7" s="201" t="s">
        <v>247</v>
      </c>
      <c r="I7" s="200"/>
    </row>
    <row r="8" spans="1:10" ht="16.5" customHeight="1" thickBot="1" x14ac:dyDescent="0.25">
      <c r="A8" s="1045" t="s">
        <v>383</v>
      </c>
      <c r="B8" s="1046"/>
      <c r="C8" s="1047"/>
      <c r="D8" s="1047"/>
      <c r="E8" s="1047"/>
      <c r="F8" s="1047"/>
      <c r="G8" s="1047"/>
      <c r="H8" s="1047"/>
      <c r="I8" s="1047"/>
    </row>
    <row r="9" spans="1:10" ht="47.25" customHeight="1" thickBot="1" x14ac:dyDescent="0.25">
      <c r="A9" s="175" t="s">
        <v>340</v>
      </c>
      <c r="B9" s="518" t="s">
        <v>585</v>
      </c>
      <c r="C9" s="496" t="s">
        <v>33</v>
      </c>
      <c r="D9" s="496" t="s">
        <v>32</v>
      </c>
      <c r="E9" s="519" t="s">
        <v>416</v>
      </c>
      <c r="F9" s="510" t="s">
        <v>40</v>
      </c>
      <c r="G9" s="363" t="s">
        <v>346</v>
      </c>
      <c r="H9" s="487" t="s">
        <v>348</v>
      </c>
      <c r="I9" s="511"/>
    </row>
    <row r="10" spans="1:10" ht="33" customHeight="1" thickBot="1" x14ac:dyDescent="0.25">
      <c r="A10" s="402" t="s">
        <v>590</v>
      </c>
      <c r="B10" s="705">
        <v>16</v>
      </c>
      <c r="C10" s="207">
        <v>580</v>
      </c>
      <c r="D10" s="208">
        <v>600</v>
      </c>
      <c r="E10" s="506">
        <v>100</v>
      </c>
      <c r="F10" s="507">
        <f>(C10/1000)*(D10/1000)*B10*(680/1000)+(E10/1000)</f>
        <v>3.8862399999999999</v>
      </c>
      <c r="G10" s="508" t="str">
        <f t="shared" ref="G10:G15" si="0">IF(H10="Рычаг L32",IF(F10&lt;1.25,"очень лёгкий фасад",IF(F10&lt;3.51,"Силовой механизм 21 (20L2101)",IF(F10&lt;6.5,"Силовой механизм 23 (20L2301)",IF(F10&lt;11,"Силовой механизм 25 (20L2501)",IF(F10&lt;20,"Силовой механизм 27 (20L2701)",IF(F10&gt;20,"очень тяжёлый фасад",)))))),IF(H10="Рычаг L35",IF(F10&lt;1.25,"очень лёгкий фасад",IF(F10&lt;2.3,"Силовой механизм 21 (20L2101)",IF(F10&lt;4.6,"Силовой механизм 23 (20L2301)",IF(F10&lt;8.5,"Силовой механизм 25 (20L2501)",IF(F10&lt;14,"Силовой механизм 27 (20L2701)",IF(F10&lt;20,"Силовой механизм 29 (20L2901)",IF(F10&gt;20,"очень тяжёлый фасад",))))))),IF(H10="Рычаг L38",IF(F10&lt;1.75,"очень лёгкий фасад",IF(F10&lt;3,"Силовой механизм 23 (20L2301)",IF(F10&lt;6,"Силовой механизм 25 (20L2501)",IF(F10&lt;11.5,"Силовой механизм 27 (20L2701)",IF(F10&lt;20,"Силовой механизм 29 (20L2901)",IF(F10&gt;20,"очень тяжёлый фасад",)))))),IF(H10="Рычаг L39",IF(F10&lt;2,"очень лёгкий фасад",IF(F10&lt;5,"Силовой механизм 25 (20L2501)",IF(F10&lt;9,"Силовой механизм 27 (20L2701)",IF(F10&lt;16.5,"Силовой механизм 29 (20L2901)",IF(F10&gt;16.5,"очень тяжёлый фасад"))))),IF(C10&lt;300,"увеличьте высоту фасада",IF(C10&gt;580,"уменьшите высоту фасада",))))))</f>
        <v>Силовой механизм 25 (20L2501)</v>
      </c>
      <c r="H10" s="509" t="str">
        <f>IF(C10&lt;300,"недопустимая высота фасада (мин. от 300 мм)",IF(C10&lt;350,"Рычаг L32",IF(C10&lt;400,"Рычаг L35",IF(C10&lt;540,"Рычаг L38",IF(C10&lt;581,"Рычаг L39",IF(C10&gt;580,"недопустимая высота фасада (макс. до 580 мм)",))))))</f>
        <v>Рычаг L39</v>
      </c>
      <c r="I10" s="512"/>
      <c r="J10" s="19"/>
    </row>
    <row r="11" spans="1:10" ht="30" customHeight="1" thickBot="1" x14ac:dyDescent="0.25">
      <c r="A11" s="204" t="s">
        <v>594</v>
      </c>
      <c r="B11" s="706">
        <v>19</v>
      </c>
      <c r="C11" s="205">
        <v>580</v>
      </c>
      <c r="D11" s="206">
        <v>1800</v>
      </c>
      <c r="E11" s="206">
        <v>0</v>
      </c>
      <c r="F11" s="498">
        <f>(C11/1000)*(D11/1000)*B11*(760/1000)+(E11/1000)</f>
        <v>15.075360000000002</v>
      </c>
      <c r="G11" s="504" t="str">
        <f t="shared" si="0"/>
        <v>Силовой механизм 29 (20L2901)</v>
      </c>
      <c r="H11" s="502" t="str">
        <f>IF(C11&lt;300,"недопустимая высота фасада (мин. от 300 мм)",IF(C11&lt;350,"Рычаг L32",IF(C11&lt;400,"Рычаг L35",IF(C11&lt;545,"Рычаг L38",IF(C11&lt;581,"Рычаг L39",IF(C11&gt;580,"недопустимая высота фасада (макс. до 580 мм)",))))))</f>
        <v>Рычаг L39</v>
      </c>
      <c r="I11" s="512"/>
      <c r="J11" s="19"/>
    </row>
    <row r="12" spans="1:10" ht="28.5" customHeight="1" thickBot="1" x14ac:dyDescent="0.25">
      <c r="A12" s="1053" t="s">
        <v>89</v>
      </c>
      <c r="B12" s="1054"/>
      <c r="C12" s="202">
        <v>580</v>
      </c>
      <c r="D12" s="203">
        <v>800</v>
      </c>
      <c r="E12" s="497">
        <v>0</v>
      </c>
      <c r="F12" s="498">
        <f>(C12)/1000*(D12)/1000*(11.5+0.3)+(E12/1000)</f>
        <v>5.4752000000000001</v>
      </c>
      <c r="G12" s="503" t="str">
        <f t="shared" si="0"/>
        <v>Силовой механизм 27 (20L2701)</v>
      </c>
      <c r="H12" s="501" t="str">
        <f>IF(C12&lt;300,"недопустимая высота фасада (мин. от 300 мм)",IF(C12&lt;350,"Рычаг L32",IF(C12&lt;400,"Рычаг L35",IF(C12&lt;545,"Рычаг L38",IF(C12&lt;581,"Рычаг L39",IF(C12&gt;580,"недопустимая высота фасада (макс. до 580 мм)",))))))</f>
        <v>Рычаг L39</v>
      </c>
      <c r="I12" s="512"/>
    </row>
    <row r="13" spans="1:10" ht="28.5" customHeight="1" thickBot="1" x14ac:dyDescent="0.25">
      <c r="A13" s="1055" t="s">
        <v>233</v>
      </c>
      <c r="B13" s="1054"/>
      <c r="C13" s="205">
        <v>400</v>
      </c>
      <c r="D13" s="206">
        <v>800</v>
      </c>
      <c r="E13" s="206">
        <v>0</v>
      </c>
      <c r="F13" s="499">
        <f>(C13)/1000*(D13)/1000*(11.5+0.3)+(E13/1000)</f>
        <v>3.7760000000000002</v>
      </c>
      <c r="G13" s="504" t="str">
        <f t="shared" si="0"/>
        <v>Силовой механизм 25 (20L2501)</v>
      </c>
      <c r="H13" s="502" t="str">
        <f>IF(C13&lt;300,"недопустимая высота фасада (мин. от 300 мм)",IF(C13&lt;350,"Рычаг L32",IF(C13&lt;400,"Рычаг L35",IF(C13&lt;545,"Рычаг L38",IF(C13&lt;581,"Рычаг L39",IF(C13&gt;580,"недопустимая высота фасада (макс. до 580 мм)",))))))</f>
        <v>Рычаг L38</v>
      </c>
      <c r="I13" s="512"/>
    </row>
    <row r="14" spans="1:10" ht="27.75" customHeight="1" thickBot="1" x14ac:dyDescent="0.25">
      <c r="A14" s="1056" t="s">
        <v>404</v>
      </c>
      <c r="B14" s="1054"/>
      <c r="C14" s="207">
        <v>580</v>
      </c>
      <c r="D14" s="208">
        <v>800</v>
      </c>
      <c r="E14" s="497">
        <v>0</v>
      </c>
      <c r="F14" s="500">
        <f>(C14)/1000*(D14)/1000*(8.8+0.3)+(E14/1000)</f>
        <v>4.2224000000000004</v>
      </c>
      <c r="G14" s="503" t="str">
        <f t="shared" si="0"/>
        <v>Силовой механизм 25 (20L2501)</v>
      </c>
      <c r="H14" s="501" t="str">
        <f>IF(C14&lt;300,"недопустимая высота фасада (мин. от 300 мм)",IF(C14&lt;350,"Рычаг L32",IF(C14&lt;400,"Рычаг L35",IF(C14&lt;545,"Рычаг L38",IF(C14&lt;581,"Рычаг L39",IF(C14&gt;580,"недопустимая высота фасада (макс. до 580 мм)",))))))</f>
        <v>Рычаг L39</v>
      </c>
      <c r="I14" s="512"/>
    </row>
    <row r="15" spans="1:10" ht="35.25" customHeight="1" thickBot="1" x14ac:dyDescent="0.25">
      <c r="A15" s="1033" t="s">
        <v>584</v>
      </c>
      <c r="B15" s="1034"/>
      <c r="C15" s="207">
        <v>400</v>
      </c>
      <c r="D15" s="208">
        <v>800</v>
      </c>
      <c r="E15" s="497">
        <v>0</v>
      </c>
      <c r="F15" s="500">
        <f>(C15)/1000*(D15)/1000*4*(2500/1000)+(C15)/1000*(D15)/1000*16*(680/1000)+(E15/1000)</f>
        <v>6.6816000000000004</v>
      </c>
      <c r="G15" s="505" t="str">
        <f t="shared" si="0"/>
        <v>Силовой механизм 27 (20L2701)</v>
      </c>
      <c r="H15" s="501" t="str">
        <f t="shared" ref="H15" si="1">IF(C15&lt;300,"недопустимая высота фасада (мин. от 300 мм)",IF(C15&lt;350,"Рычаг L32",IF(C15&lt;400,"Рычаг L35",IF(C15&lt;545,"Рычаг L38",IF(C15&lt;581,"Рычаг L39",IF(C15&gt;580,"недопустимая высота фасада (макс. до 580 мм)",))))))</f>
        <v>Рычаг L38</v>
      </c>
      <c r="I15" s="513"/>
    </row>
    <row r="16" spans="1:10" ht="19.5" customHeight="1" thickBot="1" x14ac:dyDescent="0.25">
      <c r="A16" s="409" t="s">
        <v>444</v>
      </c>
      <c r="B16" s="409"/>
    </row>
    <row r="17" spans="1:9" ht="24" thickBot="1" x14ac:dyDescent="0.25">
      <c r="A17" s="1041" t="s">
        <v>249</v>
      </c>
      <c r="B17" s="1042"/>
      <c r="C17" s="1043"/>
      <c r="D17" s="1043"/>
      <c r="E17" s="1043"/>
      <c r="F17" s="1043"/>
      <c r="G17" s="1043"/>
      <c r="H17" s="1043"/>
      <c r="I17" s="1044"/>
    </row>
    <row r="18" spans="1:9" ht="15.75" x14ac:dyDescent="0.2">
      <c r="A18" s="142">
        <v>1</v>
      </c>
      <c r="B18" s="38" t="s">
        <v>591</v>
      </c>
      <c r="C18" s="1035" t="s">
        <v>592</v>
      </c>
      <c r="D18" s="1036"/>
      <c r="E18" s="1037"/>
      <c r="F18" s="140" t="s">
        <v>255</v>
      </c>
      <c r="G18" s="140">
        <v>2</v>
      </c>
      <c r="H18" s="144"/>
      <c r="I18" s="145"/>
    </row>
    <row r="19" spans="1:9" ht="15.75" x14ac:dyDescent="0.2">
      <c r="A19" s="142">
        <v>2</v>
      </c>
      <c r="B19" s="38" t="s">
        <v>591</v>
      </c>
      <c r="C19" s="1022" t="s">
        <v>250</v>
      </c>
      <c r="D19" s="1023"/>
      <c r="E19" s="1024"/>
      <c r="F19" s="84" t="s">
        <v>256</v>
      </c>
      <c r="G19" s="84">
        <v>1</v>
      </c>
      <c r="H19" s="126"/>
      <c r="I19" s="136"/>
    </row>
    <row r="20" spans="1:9" ht="15.75" x14ac:dyDescent="0.2">
      <c r="A20" s="142">
        <v>3</v>
      </c>
      <c r="B20" s="38" t="s">
        <v>591</v>
      </c>
      <c r="C20" s="1022" t="s">
        <v>251</v>
      </c>
      <c r="D20" s="1023"/>
      <c r="E20" s="1024"/>
      <c r="F20" s="84" t="s">
        <v>257</v>
      </c>
      <c r="G20" s="84">
        <v>1</v>
      </c>
      <c r="H20" s="126"/>
      <c r="I20" s="136"/>
    </row>
    <row r="21" spans="1:9" x14ac:dyDescent="0.2">
      <c r="A21" s="142">
        <v>4</v>
      </c>
      <c r="B21" s="38" t="s">
        <v>591</v>
      </c>
      <c r="C21" s="1022" t="s">
        <v>177</v>
      </c>
      <c r="D21" s="1023"/>
      <c r="E21" s="1024"/>
      <c r="F21" s="84" t="s">
        <v>258</v>
      </c>
      <c r="G21" s="84">
        <v>1</v>
      </c>
      <c r="H21" s="84" t="s">
        <v>175</v>
      </c>
      <c r="I21" s="121" t="s">
        <v>176</v>
      </c>
    </row>
    <row r="22" spans="1:9" x14ac:dyDescent="0.2">
      <c r="A22" s="142">
        <v>5</v>
      </c>
      <c r="B22" s="38" t="s">
        <v>591</v>
      </c>
      <c r="C22" s="1022" t="s">
        <v>178</v>
      </c>
      <c r="D22" s="1023"/>
      <c r="E22" s="1024"/>
      <c r="F22" s="84" t="s">
        <v>259</v>
      </c>
      <c r="G22" s="84">
        <v>1</v>
      </c>
      <c r="H22" s="84" t="s">
        <v>175</v>
      </c>
      <c r="I22" s="121" t="s">
        <v>176</v>
      </c>
    </row>
    <row r="23" spans="1:9" x14ac:dyDescent="0.2">
      <c r="A23" s="142">
        <v>6</v>
      </c>
      <c r="B23" s="38" t="s">
        <v>591</v>
      </c>
      <c r="C23" s="1022" t="s">
        <v>254</v>
      </c>
      <c r="D23" s="1023"/>
      <c r="E23" s="1024"/>
      <c r="F23" s="84" t="s">
        <v>152</v>
      </c>
      <c r="G23" s="84">
        <v>2</v>
      </c>
      <c r="H23" s="85"/>
      <c r="I23" s="136"/>
    </row>
    <row r="24" spans="1:9" x14ac:dyDescent="0.2">
      <c r="A24" s="142">
        <v>7</v>
      </c>
      <c r="B24" s="38" t="s">
        <v>591</v>
      </c>
      <c r="C24" s="1022" t="s">
        <v>92</v>
      </c>
      <c r="D24" s="1023"/>
      <c r="E24" s="1024"/>
      <c r="F24" s="84" t="s">
        <v>42</v>
      </c>
      <c r="G24" s="84">
        <v>2</v>
      </c>
      <c r="H24" s="84" t="s">
        <v>56</v>
      </c>
      <c r="I24" s="121" t="s">
        <v>157</v>
      </c>
    </row>
    <row r="25" spans="1:9" x14ac:dyDescent="0.2">
      <c r="A25" s="142">
        <v>8</v>
      </c>
      <c r="B25" s="38" t="s">
        <v>591</v>
      </c>
      <c r="C25" s="1022" t="s">
        <v>59</v>
      </c>
      <c r="D25" s="1023"/>
      <c r="E25" s="1024"/>
      <c r="F25" s="84" t="s">
        <v>261</v>
      </c>
      <c r="G25" s="84">
        <v>1</v>
      </c>
      <c r="H25" s="84"/>
      <c r="I25" s="120"/>
    </row>
    <row r="26" spans="1:9" x14ac:dyDescent="0.2">
      <c r="A26" s="142">
        <v>9</v>
      </c>
      <c r="B26" s="38" t="s">
        <v>591</v>
      </c>
      <c r="C26" s="1022" t="s">
        <v>252</v>
      </c>
      <c r="D26" s="1023"/>
      <c r="E26" s="1024"/>
      <c r="F26" s="84" t="s">
        <v>260</v>
      </c>
      <c r="G26" s="84">
        <v>2</v>
      </c>
      <c r="H26" s="126"/>
      <c r="I26" s="120"/>
    </row>
    <row r="27" spans="1:9" ht="13.5" thickBot="1" x14ac:dyDescent="0.25">
      <c r="A27" s="143">
        <v>10</v>
      </c>
      <c r="B27" s="520" t="s">
        <v>591</v>
      </c>
      <c r="C27" s="1025" t="s">
        <v>287</v>
      </c>
      <c r="D27" s="1026"/>
      <c r="E27" s="1027"/>
      <c r="F27" s="137" t="s">
        <v>288</v>
      </c>
      <c r="G27" s="137">
        <v>1</v>
      </c>
      <c r="H27" s="127"/>
      <c r="I27" s="122" t="s">
        <v>176</v>
      </c>
    </row>
  </sheetData>
  <sheetProtection algorithmName="SHA-512" hashValue="Zv4RcEu80npbehGsiHlf0OlJ4G1+hFcghIUItPvIUJNBIG6pyJ7uZGSpy21JDIpdQRutxpL9xzKbsaAd6FGPpA==" saltValue="gfmloMVtuWaAf91X9AqnXg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customSheetViews>
    <customSheetView guid="{A25B6F15-9B48-4230-9C30-183637D1319E}" scale="109">
      <selection activeCell="H7" sqref="H7"/>
      <pageMargins left="0.75" right="0.75" top="1" bottom="1" header="0.5" footer="0.5"/>
      <pageSetup paperSize="9" orientation="portrait" r:id="rId1"/>
      <headerFooter alignWithMargins="0"/>
    </customSheetView>
  </customSheetViews>
  <mergeCells count="29">
    <mergeCell ref="A15:B15"/>
    <mergeCell ref="D7:E7"/>
    <mergeCell ref="C18:E18"/>
    <mergeCell ref="C19:E19"/>
    <mergeCell ref="A1:I1"/>
    <mergeCell ref="C2:C3"/>
    <mergeCell ref="A17:I17"/>
    <mergeCell ref="A8:I8"/>
    <mergeCell ref="A2:B3"/>
    <mergeCell ref="A4:B4"/>
    <mergeCell ref="A5:B5"/>
    <mergeCell ref="A6:B6"/>
    <mergeCell ref="A7:B7"/>
    <mergeCell ref="A12:B12"/>
    <mergeCell ref="A13:B13"/>
    <mergeCell ref="A14:B14"/>
    <mergeCell ref="D2:I2"/>
    <mergeCell ref="D3:E3"/>
    <mergeCell ref="D4:E4"/>
    <mergeCell ref="D5:E5"/>
    <mergeCell ref="D6:E6"/>
    <mergeCell ref="C25:E25"/>
    <mergeCell ref="C26:E26"/>
    <mergeCell ref="C27:E27"/>
    <mergeCell ref="C20:E20"/>
    <mergeCell ref="C21:E21"/>
    <mergeCell ref="C22:E22"/>
    <mergeCell ref="C23:E23"/>
    <mergeCell ref="C24:E24"/>
  </mergeCells>
  <phoneticPr fontId="14" type="noConversion"/>
  <conditionalFormatting sqref="H10:H15">
    <cfRule type="containsText" dxfId="125" priority="9" operator="containsText" text="недопустимая">
      <formula>NOT(ISERROR(SEARCH("недопустимая",H10)))</formula>
    </cfRule>
    <cfRule type="containsText" dxfId="124" priority="10" operator="containsText" text="очень">
      <formula>NOT(ISERROR(SEARCH("очень",H10)))</formula>
    </cfRule>
  </conditionalFormatting>
  <conditionalFormatting sqref="G10:G15">
    <cfRule type="containsText" dxfId="123" priority="8" operator="containsText" text="очень">
      <formula>NOT(ISERROR(SEARCH("очень",G10)))</formula>
    </cfRule>
  </conditionalFormatting>
  <conditionalFormatting sqref="G10">
    <cfRule type="containsText" dxfId="122" priority="7" operator="containsText" text="фасад">
      <formula>NOT(ISERROR(SEARCH("фасад",G10)))</formula>
    </cfRule>
  </conditionalFormatting>
  <conditionalFormatting sqref="G11:G15">
    <cfRule type="containsText" dxfId="121" priority="6" operator="containsText" text="фасад">
      <formula>NOT(ISERROR(SEARCH("фасад",G11)))</formula>
    </cfRule>
  </conditionalFormatting>
  <conditionalFormatting sqref="G11:G15">
    <cfRule type="containsText" dxfId="120" priority="5" operator="containsText" text="фасад">
      <formula>NOT(ISERROR(SEARCH("фасад",G11)))</formula>
    </cfRule>
  </conditionalFormatting>
  <conditionalFormatting sqref="G11:G15">
    <cfRule type="containsText" dxfId="119" priority="4" operator="containsText" text="фасад">
      <formula>NOT(ISERROR(SEARCH("фасад",G11)))</formula>
    </cfRule>
  </conditionalFormatting>
  <conditionalFormatting sqref="G11:G15">
    <cfRule type="containsText" dxfId="118" priority="3" operator="containsText" text="фасад">
      <formula>NOT(ISERROR(SEARCH("фасад",G11)))</formula>
    </cfRule>
  </conditionalFormatting>
  <conditionalFormatting sqref="G11:G15">
    <cfRule type="containsText" dxfId="117" priority="1" operator="containsText" text="фасад">
      <formula>NOT(ISERROR(SEARCH("фасад",G11)))</formula>
    </cfRule>
  </conditionalFormatting>
  <conditionalFormatting sqref="G11">
    <cfRule type="containsText" dxfId="116" priority="2" operator="containsText" text="фасад">
      <formula>NOT(ISERROR(SEARCH("фасад",G11)))</formula>
    </cfRule>
  </conditionalFormatting>
  <hyperlinks>
    <hyperlink ref="J1" location="Содержание!A1" display="← СОДЕРЖАНИЕ:" xr:uid="{00000000-0004-0000-06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B1:H233"/>
  <sheetViews>
    <sheetView showGridLines="0" zoomScaleNormal="100" workbookViewId="0">
      <selection activeCell="L8" sqref="L8"/>
    </sheetView>
  </sheetViews>
  <sheetFormatPr defaultRowHeight="12.75" x14ac:dyDescent="0.2"/>
  <cols>
    <col min="1" max="1" width="20.140625" customWidth="1"/>
    <col min="2" max="2" width="14.5703125" customWidth="1"/>
    <col min="3" max="3" width="13" customWidth="1"/>
    <col min="4" max="4" width="12.7109375" customWidth="1"/>
    <col min="6" max="6" width="19.7109375" customWidth="1"/>
    <col min="7" max="7" width="22.85546875" customWidth="1"/>
    <col min="8" max="8" width="20.140625" customWidth="1"/>
  </cols>
  <sheetData>
    <row r="1" spans="2:8" ht="48" customHeight="1" thickBot="1" x14ac:dyDescent="0.25">
      <c r="H1" s="434" t="s">
        <v>544</v>
      </c>
    </row>
    <row r="2" spans="2:8" ht="12.95" customHeight="1" x14ac:dyDescent="0.2">
      <c r="B2" s="433"/>
    </row>
    <row r="3" spans="2:8" ht="12.95" customHeight="1" x14ac:dyDescent="0.2"/>
    <row r="4" spans="2:8" ht="12.95" customHeight="1" x14ac:dyDescent="0.2"/>
    <row r="5" spans="2:8" ht="12.95" customHeight="1" x14ac:dyDescent="0.2"/>
    <row r="6" spans="2:8" ht="12.95" customHeight="1" x14ac:dyDescent="0.2"/>
    <row r="7" spans="2:8" ht="12.95" customHeight="1" x14ac:dyDescent="0.2"/>
    <row r="8" spans="2:8" ht="12.95" customHeight="1" x14ac:dyDescent="0.2"/>
    <row r="9" spans="2:8" ht="12.95" customHeight="1" x14ac:dyDescent="0.2"/>
    <row r="10" spans="2:8" ht="12.95" customHeight="1" x14ac:dyDescent="0.2"/>
    <row r="11" spans="2:8" ht="12.95" customHeight="1" x14ac:dyDescent="0.2"/>
    <row r="12" spans="2:8" ht="12.95" customHeight="1" x14ac:dyDescent="0.2"/>
    <row r="13" spans="2:8" ht="12.95" customHeight="1" x14ac:dyDescent="0.2"/>
    <row r="14" spans="2:8" ht="12.95" customHeight="1" x14ac:dyDescent="0.2"/>
    <row r="15" spans="2:8" ht="12.95" customHeight="1" x14ac:dyDescent="0.2"/>
    <row r="16" spans="2:8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2.95" customHeight="1" x14ac:dyDescent="0.2"/>
    <row r="27" ht="12.95" customHeight="1" x14ac:dyDescent="0.2"/>
    <row r="28" ht="12.95" customHeight="1" x14ac:dyDescent="0.2"/>
    <row r="29" ht="12.95" customHeight="1" x14ac:dyDescent="0.2"/>
    <row r="30" ht="12.95" customHeight="1" x14ac:dyDescent="0.2"/>
    <row r="31" ht="12.95" customHeight="1" x14ac:dyDescent="0.2"/>
    <row r="32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2.95" customHeight="1" x14ac:dyDescent="0.2"/>
    <row r="40" ht="12.95" customHeight="1" x14ac:dyDescent="0.2"/>
    <row r="41" ht="12.95" customHeight="1" x14ac:dyDescent="0.2"/>
    <row r="42" ht="12.95" customHeight="1" x14ac:dyDescent="0.2"/>
    <row r="43" ht="12.95" customHeight="1" x14ac:dyDescent="0.2"/>
    <row r="44" ht="12.95" customHeight="1" x14ac:dyDescent="0.2"/>
    <row r="45" ht="12.95" customHeight="1" x14ac:dyDescent="0.2"/>
    <row r="46" ht="12.95" customHeight="1" x14ac:dyDescent="0.2"/>
    <row r="47" ht="12.95" customHeight="1" x14ac:dyDescent="0.2"/>
    <row r="4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</sheetData>
  <sheetProtection algorithmName="SHA-512" hashValue="VKEz8qELBIJ3lcBZKwYlvUT0emiGyOtr+dj9u+gjp224lP+Fb/XH/OQQLK4ulOAW9l2HKkWq+dKmQxULxrPCAg==" saltValue="g3Zmrg+e7ph7t45ohJrvNQ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cale="130" showGridLines="0" fitToPage="1">
      <selection activeCell="B11" sqref="B11"/>
      <pageMargins left="0.19685039370078741" right="0.19685039370078741" top="0.19685039370078741" bottom="0.19685039370078741" header="0.51181102362204722" footer="0.51181102362204722"/>
      <pageSetup paperSize="9" scale="95" orientation="portrait" r:id="rId1"/>
      <headerFooter alignWithMargins="0"/>
    </customSheetView>
  </customSheetViews>
  <phoneticPr fontId="14" type="noConversion"/>
  <hyperlinks>
    <hyperlink ref="H1" location="Содержание!R1C1" display="← СОДЕРЖАНИЕ:" xr:uid="{00000000-0004-0000-0700-000000000000}"/>
  </hyperlinks>
  <pageMargins left="0.19685039370078741" right="0.19685039370078741" top="0.19685039370078741" bottom="0.19685039370078741" header="0.51181102362204722" footer="0.51181102362204722"/>
  <pageSetup paperSize="9" scale="95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indexed="44"/>
  </sheetPr>
  <dimension ref="A1:L25"/>
  <sheetViews>
    <sheetView showGridLines="0" workbookViewId="0">
      <selection activeCell="J13" sqref="J13"/>
    </sheetView>
  </sheetViews>
  <sheetFormatPr defaultRowHeight="12.75" x14ac:dyDescent="0.2"/>
  <cols>
    <col min="1" max="1" width="38.7109375" customWidth="1"/>
    <col min="2" max="2" width="10.42578125" customWidth="1"/>
    <col min="3" max="3" width="14.42578125" customWidth="1"/>
    <col min="4" max="4" width="12.7109375" customWidth="1"/>
    <col min="5" max="5" width="11.140625" customWidth="1"/>
    <col min="6" max="6" width="17.5703125" customWidth="1"/>
    <col min="7" max="7" width="15.42578125" customWidth="1"/>
    <col min="8" max="8" width="40" customWidth="1"/>
    <col min="9" max="9" width="18.28515625" customWidth="1"/>
    <col min="10" max="10" width="12" customWidth="1"/>
    <col min="11" max="11" width="12.7109375" customWidth="1"/>
    <col min="12" max="12" width="14.28515625" customWidth="1"/>
    <col min="13" max="14" width="11.7109375" customWidth="1"/>
  </cols>
  <sheetData>
    <row r="1" spans="1:12" ht="47.25" customHeight="1" thickBot="1" x14ac:dyDescent="0.25">
      <c r="A1" s="1057"/>
      <c r="B1" s="1058"/>
      <c r="C1" s="1058"/>
      <c r="D1" s="1058"/>
      <c r="E1" s="1058"/>
      <c r="F1" s="1058"/>
      <c r="G1" s="1058"/>
      <c r="H1" s="1030"/>
      <c r="I1" s="435" t="s">
        <v>544</v>
      </c>
    </row>
    <row r="2" spans="1:12" ht="24.95" customHeight="1" thickBot="1" x14ac:dyDescent="0.25">
      <c r="A2" s="1090" t="s">
        <v>170</v>
      </c>
      <c r="B2" s="1049"/>
      <c r="C2" s="1067" t="s">
        <v>357</v>
      </c>
      <c r="D2" s="1068"/>
      <c r="E2" s="1069"/>
      <c r="F2" s="1080" t="s">
        <v>165</v>
      </c>
      <c r="G2" s="1081"/>
      <c r="H2" s="177"/>
    </row>
    <row r="3" spans="1:12" ht="18" customHeight="1" thickBot="1" x14ac:dyDescent="0.25">
      <c r="A3" s="1091"/>
      <c r="B3" s="1051"/>
      <c r="C3" s="1070"/>
      <c r="D3" s="1071"/>
      <c r="E3" s="1072"/>
      <c r="F3" s="404" t="s">
        <v>43</v>
      </c>
      <c r="G3" s="178" t="s">
        <v>44</v>
      </c>
      <c r="H3" s="177"/>
    </row>
    <row r="4" spans="1:12" ht="21" customHeight="1" x14ac:dyDescent="0.2">
      <c r="A4" s="179" t="s">
        <v>682</v>
      </c>
      <c r="B4" s="521"/>
      <c r="C4" s="1065" t="s">
        <v>179</v>
      </c>
      <c r="D4" s="1065"/>
      <c r="E4" s="1066"/>
      <c r="F4" s="180">
        <v>480</v>
      </c>
      <c r="G4" s="181">
        <v>1500</v>
      </c>
      <c r="H4" s="177"/>
    </row>
    <row r="5" spans="1:12" ht="21" customHeight="1" x14ac:dyDescent="0.2">
      <c r="A5" s="179" t="s">
        <v>683</v>
      </c>
      <c r="B5" s="522"/>
      <c r="C5" s="1073" t="s">
        <v>180</v>
      </c>
      <c r="D5" s="1073"/>
      <c r="E5" s="1074"/>
      <c r="F5" s="182">
        <v>750</v>
      </c>
      <c r="G5" s="183">
        <v>2500</v>
      </c>
      <c r="H5" s="177"/>
    </row>
    <row r="6" spans="1:12" ht="20.25" customHeight="1" x14ac:dyDescent="0.2">
      <c r="A6" s="179" t="s">
        <v>684</v>
      </c>
      <c r="B6" s="522"/>
      <c r="C6" s="1073" t="s">
        <v>182</v>
      </c>
      <c r="D6" s="1073"/>
      <c r="E6" s="1074"/>
      <c r="F6" s="182">
        <v>1500</v>
      </c>
      <c r="G6" s="183">
        <v>4900</v>
      </c>
      <c r="H6" s="177"/>
    </row>
    <row r="7" spans="1:12" ht="19.5" customHeight="1" thickBot="1" x14ac:dyDescent="0.25">
      <c r="A7" s="403" t="s">
        <v>685</v>
      </c>
      <c r="B7" s="524"/>
      <c r="C7" s="1075" t="s">
        <v>181</v>
      </c>
      <c r="D7" s="1075"/>
      <c r="E7" s="1076"/>
      <c r="F7" s="184">
        <v>3200</v>
      </c>
      <c r="G7" s="185">
        <v>9000</v>
      </c>
      <c r="H7" s="177"/>
    </row>
    <row r="8" spans="1:12" ht="21" customHeight="1" thickBot="1" x14ac:dyDescent="0.25">
      <c r="A8" s="1082" t="s">
        <v>384</v>
      </c>
      <c r="B8" s="1083"/>
      <c r="C8" s="1084"/>
      <c r="D8" s="1084"/>
      <c r="E8" s="1084"/>
      <c r="F8" s="1084"/>
      <c r="G8" s="1084"/>
      <c r="H8" s="1085"/>
    </row>
    <row r="9" spans="1:12" ht="42" customHeight="1" thickBot="1" x14ac:dyDescent="0.25">
      <c r="A9" s="523" t="s">
        <v>340</v>
      </c>
      <c r="B9" s="518" t="s">
        <v>585</v>
      </c>
      <c r="C9" s="158" t="s">
        <v>33</v>
      </c>
      <c r="D9" s="159" t="s">
        <v>32</v>
      </c>
      <c r="E9" s="405" t="s">
        <v>416</v>
      </c>
      <c r="F9" s="160" t="s">
        <v>40</v>
      </c>
      <c r="G9" s="176" t="s">
        <v>36</v>
      </c>
      <c r="H9" s="186" t="s">
        <v>351</v>
      </c>
    </row>
    <row r="10" spans="1:12" ht="30" customHeight="1" thickBot="1" x14ac:dyDescent="0.25">
      <c r="A10" s="187" t="s">
        <v>595</v>
      </c>
      <c r="B10" s="536">
        <v>18</v>
      </c>
      <c r="C10" s="423">
        <v>600</v>
      </c>
      <c r="D10" s="424">
        <v>600</v>
      </c>
      <c r="E10" s="425">
        <v>0</v>
      </c>
      <c r="F10" s="188">
        <f>(C10)/1000*(D10)/1000*B10*(680/1000)+(E10/1000*2)</f>
        <v>4.4063999999999997</v>
      </c>
      <c r="G10" s="189">
        <f t="shared" ref="G10:G15" si="0">F10*C10</f>
        <v>2643.8399999999997</v>
      </c>
      <c r="H10" s="190" t="str">
        <f t="shared" ref="H10:H15" si="1">IF(C10&lt;205,"увеличьте высоту фасада (мин. 205 мм)",IF(C10&gt;600,"уменьшите высоту фасада (макс. 600 мм)",IF(G10&lt;480,"очень лёгкий фасад, используйте механизм AVENTOS HK-S или HK-XS",IF(G10&lt;750,"2 силовых механизма AVENTOS HK 23",IF(G10&lt;1500,"2 силовых механизма AVENTOS HK 25",IF(G10&lt;4000,"2 силовых механизма AVENTOS HK 27",IF(G10&lt;9000,"2 силовых механизма AVENTOS HK 29",IF(G10&gt;9000,"очень тяжёлый фасад",))))))))</f>
        <v>2 силовых механизма AVENTOS HK 27</v>
      </c>
      <c r="I10" s="19"/>
    </row>
    <row r="11" spans="1:12" ht="27.75" customHeight="1" thickBot="1" x14ac:dyDescent="0.25">
      <c r="A11" s="191" t="s">
        <v>593</v>
      </c>
      <c r="B11" s="525">
        <v>19</v>
      </c>
      <c r="C11" s="426">
        <v>600</v>
      </c>
      <c r="D11" s="427">
        <v>1800</v>
      </c>
      <c r="E11" s="428">
        <v>0</v>
      </c>
      <c r="F11" s="188">
        <f>(C11)/1000*(D11)/1000*B11*(760/1000)+(E11/1000*2)</f>
        <v>15.595200000000002</v>
      </c>
      <c r="G11" s="193">
        <f t="shared" si="0"/>
        <v>9357.1200000000008</v>
      </c>
      <c r="H11" s="406" t="str">
        <f t="shared" si="1"/>
        <v>очень тяжёлый фасад</v>
      </c>
      <c r="I11" s="42"/>
      <c r="J11" s="42"/>
      <c r="K11" s="41"/>
      <c r="L11" s="41"/>
    </row>
    <row r="12" spans="1:12" ht="25.5" customHeight="1" thickBot="1" x14ac:dyDescent="0.25">
      <c r="A12" s="1056" t="s">
        <v>89</v>
      </c>
      <c r="B12" s="1054"/>
      <c r="C12" s="422">
        <v>600</v>
      </c>
      <c r="D12" s="429">
        <v>600</v>
      </c>
      <c r="E12" s="430">
        <v>0</v>
      </c>
      <c r="F12" s="194">
        <f>(C12)/1000*(D12)/1000*(11.5+0.3*2)+(E12/1000*2)</f>
        <v>4.3559999999999999</v>
      </c>
      <c r="G12" s="195">
        <f t="shared" si="0"/>
        <v>2613.6</v>
      </c>
      <c r="H12" s="190" t="str">
        <f t="shared" si="1"/>
        <v>2 силовых механизма AVENTOS HK 27</v>
      </c>
      <c r="I12" s="42"/>
      <c r="J12" s="42"/>
      <c r="K12" s="41"/>
      <c r="L12" s="41"/>
    </row>
    <row r="13" spans="1:12" ht="28.5" customHeight="1" thickBot="1" x14ac:dyDescent="0.25">
      <c r="A13" s="1078" t="s">
        <v>90</v>
      </c>
      <c r="B13" s="1054"/>
      <c r="C13" s="426">
        <v>600</v>
      </c>
      <c r="D13" s="431">
        <v>762</v>
      </c>
      <c r="E13" s="432">
        <v>0</v>
      </c>
      <c r="F13" s="192">
        <f>(C13)/1000*(D13)/1000*(11.5+0.3*2)+(E13/1000*2)</f>
        <v>5.5321199999999999</v>
      </c>
      <c r="G13" s="193">
        <f t="shared" si="0"/>
        <v>3319.2719999999999</v>
      </c>
      <c r="H13" s="406" t="str">
        <f t="shared" si="1"/>
        <v>2 силовых механизма AVENTOS HK 27</v>
      </c>
    </row>
    <row r="14" spans="1:12" ht="27" customHeight="1" thickBot="1" x14ac:dyDescent="0.25">
      <c r="A14" s="1056" t="s">
        <v>404</v>
      </c>
      <c r="B14" s="1054"/>
      <c r="C14" s="422">
        <v>600</v>
      </c>
      <c r="D14" s="429">
        <v>500</v>
      </c>
      <c r="E14" s="430">
        <v>0</v>
      </c>
      <c r="F14" s="194">
        <f>(C14)/1000*(D14)/1000*(8.8+0.3*2)+(E14/1000*2)</f>
        <v>2.82</v>
      </c>
      <c r="G14" s="196">
        <f t="shared" si="0"/>
        <v>1692</v>
      </c>
      <c r="H14" s="197" t="str">
        <f t="shared" si="1"/>
        <v>2 силовых механизма AVENTOS HK 27</v>
      </c>
    </row>
    <row r="15" spans="1:12" ht="29.25" customHeight="1" thickBot="1" x14ac:dyDescent="0.25">
      <c r="A15" s="1079" t="s">
        <v>538</v>
      </c>
      <c r="B15" s="1034"/>
      <c r="C15" s="426">
        <v>600</v>
      </c>
      <c r="D15" s="525">
        <v>600</v>
      </c>
      <c r="E15" s="525">
        <v>0</v>
      </c>
      <c r="F15" s="192">
        <f>(C15)/1000*(D15)/1000*4*(2500/1000)+(C15)/1000*(D15)/1000*16*(680/1000)+(E15/1000*2)</f>
        <v>7.5167999999999999</v>
      </c>
      <c r="G15" s="407">
        <f t="shared" si="0"/>
        <v>4510.08</v>
      </c>
      <c r="H15" s="408" t="str">
        <f t="shared" si="1"/>
        <v>2 силовых механизма AVENTOS HK 29</v>
      </c>
    </row>
    <row r="16" spans="1:12" ht="20.25" customHeight="1" thickBot="1" x14ac:dyDescent="0.25">
      <c r="A16" s="409" t="s">
        <v>444</v>
      </c>
      <c r="B16" s="409"/>
    </row>
    <row r="17" spans="1:9" ht="24" thickBot="1" x14ac:dyDescent="0.25">
      <c r="A17" s="1086" t="s">
        <v>352</v>
      </c>
      <c r="B17" s="1087"/>
      <c r="C17" s="1088"/>
      <c r="D17" s="1088"/>
      <c r="E17" s="1088"/>
      <c r="F17" s="1088"/>
      <c r="G17" s="1088"/>
      <c r="H17" s="1089"/>
      <c r="I17" s="135"/>
    </row>
    <row r="18" spans="1:9" ht="16.5" thickBot="1" x14ac:dyDescent="0.25">
      <c r="A18" s="1059" t="s">
        <v>385</v>
      </c>
      <c r="B18" s="1060"/>
      <c r="C18" s="1061"/>
      <c r="D18" s="1077" t="s">
        <v>174</v>
      </c>
      <c r="E18" s="1030"/>
      <c r="F18" s="139">
        <v>2</v>
      </c>
      <c r="G18" s="140" t="s">
        <v>185</v>
      </c>
      <c r="H18" s="141" t="s">
        <v>184</v>
      </c>
    </row>
    <row r="19" spans="1:9" ht="13.5" thickBot="1" x14ac:dyDescent="0.25">
      <c r="A19" s="1062" t="s">
        <v>386</v>
      </c>
      <c r="B19" s="1063"/>
      <c r="C19" s="1064"/>
      <c r="D19" s="1077" t="s">
        <v>171</v>
      </c>
      <c r="E19" s="1030"/>
      <c r="F19" s="83">
        <v>1</v>
      </c>
      <c r="G19" s="84" t="s">
        <v>175</v>
      </c>
      <c r="H19" s="121" t="s">
        <v>176</v>
      </c>
    </row>
    <row r="20" spans="1:9" ht="13.5" thickBot="1" x14ac:dyDescent="0.25">
      <c r="A20" s="1062" t="s">
        <v>387</v>
      </c>
      <c r="B20" s="1063"/>
      <c r="C20" s="1064"/>
      <c r="D20" s="1077" t="s">
        <v>172</v>
      </c>
      <c r="E20" s="1030"/>
      <c r="F20" s="83">
        <v>1</v>
      </c>
      <c r="G20" s="84" t="s">
        <v>175</v>
      </c>
      <c r="H20" s="121" t="s">
        <v>176</v>
      </c>
    </row>
    <row r="21" spans="1:9" ht="13.5" thickBot="1" x14ac:dyDescent="0.25">
      <c r="A21" s="1062" t="s">
        <v>388</v>
      </c>
      <c r="B21" s="1063"/>
      <c r="C21" s="1064"/>
      <c r="D21" s="1077" t="s">
        <v>173</v>
      </c>
      <c r="E21" s="1030"/>
      <c r="F21" s="83">
        <v>2</v>
      </c>
      <c r="G21" s="85"/>
      <c r="H21" s="136"/>
    </row>
    <row r="22" spans="1:9" ht="13.5" thickBot="1" x14ac:dyDescent="0.25">
      <c r="A22" s="1062" t="s">
        <v>389</v>
      </c>
      <c r="B22" s="1063"/>
      <c r="C22" s="1064"/>
      <c r="D22" s="1077" t="s">
        <v>42</v>
      </c>
      <c r="E22" s="1030"/>
      <c r="F22" s="83">
        <v>2</v>
      </c>
      <c r="G22" s="84" t="s">
        <v>56</v>
      </c>
      <c r="H22" s="121" t="s">
        <v>157</v>
      </c>
    </row>
    <row r="23" spans="1:9" ht="13.5" thickBot="1" x14ac:dyDescent="0.25">
      <c r="A23" s="1062" t="s">
        <v>397</v>
      </c>
      <c r="B23" s="1063"/>
      <c r="C23" s="1064"/>
      <c r="D23" s="1077" t="s">
        <v>390</v>
      </c>
      <c r="E23" s="1030"/>
      <c r="F23" s="83">
        <v>1</v>
      </c>
      <c r="G23" s="84"/>
      <c r="H23" s="121" t="s">
        <v>184</v>
      </c>
    </row>
    <row r="24" spans="1:9" ht="13.5" thickBot="1" x14ac:dyDescent="0.25">
      <c r="A24" s="1062" t="s">
        <v>398</v>
      </c>
      <c r="B24" s="1063"/>
      <c r="C24" s="1064"/>
      <c r="D24" s="1077" t="s">
        <v>391</v>
      </c>
      <c r="E24" s="1030"/>
      <c r="F24" s="83">
        <v>1</v>
      </c>
      <c r="G24" s="84"/>
      <c r="H24" s="121" t="s">
        <v>184</v>
      </c>
    </row>
    <row r="25" spans="1:9" ht="13.5" thickBot="1" x14ac:dyDescent="0.25">
      <c r="A25" s="1062" t="s">
        <v>399</v>
      </c>
      <c r="B25" s="1063"/>
      <c r="C25" s="1064"/>
      <c r="D25" s="1077" t="s">
        <v>183</v>
      </c>
      <c r="E25" s="1030"/>
      <c r="F25" s="83">
        <v>1</v>
      </c>
      <c r="G25" s="137"/>
      <c r="H25" s="122" t="s">
        <v>184</v>
      </c>
    </row>
  </sheetData>
  <sheetProtection algorithmName="SHA-512" hashValue="zPg+WMvBk1uCGnb8B5YEiy+zJELOtG+omlO743dN65J2CpBxrvsKkliGMSbQCyvBYbfoADQ1VyLihbjxHlKvKQ==" saltValue="FSBi1dm2Xh2VJp77i9U1oA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customSheetViews>
    <customSheetView guid="{A25B6F15-9B48-4230-9C30-183637D1319E}" showGridLines="0" topLeftCell="A4">
      <selection activeCell="F10" sqref="F10"/>
      <pageMargins left="0.75" right="0.75" top="1" bottom="1" header="0.5" footer="0.5"/>
      <pageSetup paperSize="9" orientation="portrait" r:id="rId1"/>
      <headerFooter alignWithMargins="0"/>
    </customSheetView>
  </customSheetViews>
  <mergeCells count="30">
    <mergeCell ref="A25:C25"/>
    <mergeCell ref="F2:G2"/>
    <mergeCell ref="A21:C21"/>
    <mergeCell ref="A22:C22"/>
    <mergeCell ref="A23:C23"/>
    <mergeCell ref="A24:C24"/>
    <mergeCell ref="A8:H8"/>
    <mergeCell ref="A17:H17"/>
    <mergeCell ref="D21:E21"/>
    <mergeCell ref="D22:E22"/>
    <mergeCell ref="D23:E23"/>
    <mergeCell ref="D24:E24"/>
    <mergeCell ref="D25:E25"/>
    <mergeCell ref="A2:B3"/>
    <mergeCell ref="A12:B12"/>
    <mergeCell ref="A1:H1"/>
    <mergeCell ref="A18:C18"/>
    <mergeCell ref="A19:C19"/>
    <mergeCell ref="A20:C20"/>
    <mergeCell ref="C4:E4"/>
    <mergeCell ref="C2:E3"/>
    <mergeCell ref="C5:E5"/>
    <mergeCell ref="C6:E6"/>
    <mergeCell ref="C7:E7"/>
    <mergeCell ref="D18:E18"/>
    <mergeCell ref="D19:E19"/>
    <mergeCell ref="D20:E20"/>
    <mergeCell ref="A13:B13"/>
    <mergeCell ref="A14:B14"/>
    <mergeCell ref="A15:B15"/>
  </mergeCells>
  <phoneticPr fontId="14" type="noConversion"/>
  <conditionalFormatting sqref="H10:H15">
    <cfRule type="containsText" dxfId="115" priority="5" stopIfTrue="1" operator="containsText" text="очень">
      <formula>NOT(ISERROR(SEARCH("очень",H10)))</formula>
    </cfRule>
  </conditionalFormatting>
  <conditionalFormatting sqref="H10">
    <cfRule type="containsText" dxfId="114" priority="3" operator="containsText" text="уменьшите высоту фасада">
      <formula>NOT(ISERROR(SEARCH("уменьшите высоту фасада",H10)))</formula>
    </cfRule>
    <cfRule type="containsText" dxfId="113" priority="4" operator="containsText" text="увеличьте высоту фасада">
      <formula>NOT(ISERROR(SEARCH("увеличьте высоту фасада",H10)))</formula>
    </cfRule>
  </conditionalFormatting>
  <conditionalFormatting sqref="H11:H15">
    <cfRule type="containsText" dxfId="112" priority="1" operator="containsText" text="уменьшите высоту фасада">
      <formula>NOT(ISERROR(SEARCH("уменьшите высоту фасада",H11)))</formula>
    </cfRule>
    <cfRule type="containsText" dxfId="111" priority="2" operator="containsText" text="увеличьте высоту фасада">
      <formula>NOT(ISERROR(SEARCH("увеличьте высоту фасада",H11)))</formula>
    </cfRule>
  </conditionalFormatting>
  <hyperlinks>
    <hyperlink ref="I1" location="Содержание!R1C1" display="← СОДЕРЖАНИЕ:" xr:uid="{00000000-0004-0000-08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5</vt:i4>
      </vt:variant>
    </vt:vector>
  </HeadingPairs>
  <TitlesOfParts>
    <vt:vector size="31" baseType="lpstr">
      <vt:lpstr>Содержание</vt:lpstr>
      <vt:lpstr>HF</vt:lpstr>
      <vt:lpstr>HF разные фасады</vt:lpstr>
      <vt:lpstr>Схема AVENTOS HF</vt:lpstr>
      <vt:lpstr>HS</vt:lpstr>
      <vt:lpstr>Схема AVENTOS HS </vt:lpstr>
      <vt:lpstr>HL</vt:lpstr>
      <vt:lpstr>Схема AVENTOS HL</vt:lpstr>
      <vt:lpstr>HK</vt:lpstr>
      <vt:lpstr>Схема AVENTOS HK</vt:lpstr>
      <vt:lpstr>HK top</vt:lpstr>
      <vt:lpstr>Схема AVENTOS HK top</vt:lpstr>
      <vt:lpstr>HK-S</vt:lpstr>
      <vt:lpstr>Cхема AVENTOS HK-S</vt:lpstr>
      <vt:lpstr>HK-XS</vt:lpstr>
      <vt:lpstr>Cхема AVENTOS HK-XS</vt:lpstr>
      <vt:lpstr>TIP-ON BLUMOTION LEGRABOX</vt:lpstr>
      <vt:lpstr>TIP-ON BLUMOTION LEGRABOX СХЕМА</vt:lpstr>
      <vt:lpstr>TIP-ON BUMOTION MOVENTO</vt:lpstr>
      <vt:lpstr>TIP-ON BUMOTION MOVENTO СХЕМА</vt:lpstr>
      <vt:lpstr>TIP-ON BLUMOTION TANDEMBOX</vt:lpstr>
      <vt:lpstr>TIP-ON BUMOTION TANDEMBOX СХЕMA</vt:lpstr>
      <vt:lpstr>TANDEMBOX боковые вставки</vt:lpstr>
      <vt:lpstr>Раскрой дна и з.с для TANDEMBOX</vt:lpstr>
      <vt:lpstr>Раскрой дна и з.с. для LEGRABOX</vt:lpstr>
      <vt:lpstr>Раскрой валов синхронизации</vt:lpstr>
      <vt:lpstr>'TIP-ON BLUMOTION LEGRABOX СХЕМА'!внутр</vt:lpstr>
      <vt:lpstr>'TIP-ON BLUMOTION TANDEMBOX'!внутр</vt:lpstr>
      <vt:lpstr>внутр</vt:lpstr>
      <vt:lpstr>'Раскрой валов синхронизации'!Область_печати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Титов Сергей</cp:lastModifiedBy>
  <cp:lastPrinted>2015-12-23T10:23:05Z</cp:lastPrinted>
  <dcterms:created xsi:type="dcterms:W3CDTF">1996-10-08T23:32:33Z</dcterms:created>
  <dcterms:modified xsi:type="dcterms:W3CDTF">2023-02-21T08:26:48Z</dcterms:modified>
</cp:coreProperties>
</file>